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BKWG\Desktop\"/>
    </mc:Choice>
  </mc:AlternateContent>
  <xr:revisionPtr revIDLastSave="0" documentId="13_ncr:1_{25B49077-62D7-4C1C-BA5D-CE55E399CB02}" xr6:coauthVersionLast="44" xr6:coauthVersionMax="44" xr10:uidLastSave="{00000000-0000-0000-0000-000000000000}"/>
  <bookViews>
    <workbookView xWindow="-120" yWindow="-120" windowWidth="29040" windowHeight="15840" firstSheet="1" activeTab="4" xr2:uid="{00000000-000D-0000-FFFF-FFFF00000000}"/>
  </bookViews>
  <sheets>
    <sheet name="Enhanced Inspections Workpaper" sheetId="1" r:id="rId1"/>
    <sheet name="Financials" sheetId="3" r:id="rId2"/>
    <sheet name="2018 Routine Insp. - Dist" sheetId="4" r:id="rId3"/>
    <sheet name="2019 Enhanced Insp. - Dist" sheetId="2" r:id="rId4"/>
    <sheet name="2018 Routine Insp. - Trans" sheetId="6" r:id="rId5"/>
    <sheet name="2019 Enhanced Insp. - Trans" sheetId="5" r:id="rId6"/>
  </sheet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768</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768</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0">'Enhanced Inspections Workpaper'!$1:$7</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2" i="6" l="1"/>
  <c r="J21" i="6"/>
  <c r="J20" i="6"/>
  <c r="J19" i="6"/>
  <c r="J18" i="6"/>
  <c r="J15" i="6"/>
  <c r="J14" i="6"/>
  <c r="J13" i="6"/>
  <c r="J12" i="6"/>
  <c r="J11" i="6"/>
  <c r="J8" i="6"/>
  <c r="J7" i="6"/>
  <c r="J6" i="6"/>
  <c r="J5" i="6"/>
  <c r="J4" i="6"/>
  <c r="J4" i="5"/>
  <c r="J5" i="5"/>
  <c r="J6" i="5"/>
  <c r="J7" i="5"/>
  <c r="J8" i="5"/>
  <c r="J11" i="5"/>
  <c r="J12" i="5"/>
  <c r="J13" i="5"/>
  <c r="J14" i="5"/>
  <c r="J15" i="5"/>
  <c r="J18" i="5"/>
  <c r="J19" i="5"/>
  <c r="J20" i="5"/>
  <c r="J21" i="5"/>
  <c r="J22" i="5"/>
  <c r="B28" i="5" l="1"/>
  <c r="B24" i="5"/>
  <c r="B24" i="6"/>
  <c r="B28" i="6"/>
  <c r="B31" i="2"/>
  <c r="B35" i="2"/>
  <c r="B32" i="4"/>
  <c r="B28" i="4"/>
  <c r="D4" i="5"/>
  <c r="D7" i="5"/>
  <c r="D6" i="5"/>
  <c r="D5" i="5"/>
  <c r="D21" i="5"/>
  <c r="D20" i="5"/>
  <c r="D19" i="5"/>
  <c r="D18" i="5"/>
  <c r="D14" i="5"/>
  <c r="D13" i="5"/>
  <c r="D12" i="5"/>
  <c r="D11" i="5"/>
  <c r="D21" i="6"/>
  <c r="D20" i="6"/>
  <c r="D19" i="6"/>
  <c r="D18" i="6"/>
  <c r="D14" i="6"/>
  <c r="D13" i="6"/>
  <c r="D12" i="6"/>
  <c r="D11" i="6"/>
  <c r="D7" i="6"/>
  <c r="D6" i="6"/>
  <c r="D5" i="6"/>
  <c r="D4" i="6"/>
  <c r="D24" i="2"/>
  <c r="D23" i="2"/>
  <c r="D22" i="2"/>
  <c r="D21" i="2"/>
  <c r="D20" i="2"/>
  <c r="D16" i="2"/>
  <c r="D15" i="2"/>
  <c r="D14" i="2"/>
  <c r="D13" i="2"/>
  <c r="D12" i="2"/>
  <c r="D8" i="2"/>
  <c r="D7" i="2"/>
  <c r="D6" i="2"/>
  <c r="D5" i="2"/>
  <c r="D4" i="2"/>
  <c r="F5" i="2"/>
  <c r="D21" i="4"/>
  <c r="D20" i="4"/>
  <c r="D19" i="4"/>
  <c r="D18" i="4"/>
  <c r="D14" i="4"/>
  <c r="D13" i="4"/>
  <c r="D12" i="4"/>
  <c r="D11" i="4"/>
  <c r="D7" i="4"/>
  <c r="D6" i="4"/>
  <c r="D5" i="4"/>
  <c r="D4" i="4"/>
  <c r="F4" i="4"/>
  <c r="I8" i="2"/>
  <c r="F7" i="2"/>
  <c r="F6" i="2"/>
  <c r="I4" i="2"/>
  <c r="F8" i="2" l="1"/>
  <c r="I5" i="2"/>
  <c r="F4" i="2"/>
  <c r="I6" i="2"/>
  <c r="I7" i="2"/>
  <c r="J7" i="2" l="1"/>
  <c r="H7" i="2"/>
  <c r="K7" i="2" s="1"/>
  <c r="J23" i="2"/>
  <c r="J16" i="2"/>
  <c r="J15" i="2"/>
  <c r="I22" i="2" l="1"/>
  <c r="F22" i="2"/>
  <c r="F23" i="2"/>
  <c r="I23" i="2"/>
  <c r="I21" i="2"/>
  <c r="F21" i="2"/>
  <c r="F20" i="2"/>
  <c r="I20" i="2"/>
  <c r="F24" i="2"/>
  <c r="I24" i="2"/>
  <c r="L7" i="2"/>
  <c r="H23" i="2"/>
  <c r="K23" i="2" s="1"/>
  <c r="L23" i="2"/>
  <c r="D34" i="6" l="1"/>
  <c r="C34" i="6"/>
  <c r="D33" i="6"/>
  <c r="C33" i="6"/>
  <c r="B33" i="6"/>
  <c r="C34" i="5"/>
  <c r="D33" i="5"/>
  <c r="C33" i="5"/>
  <c r="B33" i="5"/>
  <c r="J24" i="2"/>
  <c r="J8" i="2"/>
  <c r="D35" i="6" l="1"/>
  <c r="B34" i="6"/>
  <c r="C35" i="5"/>
  <c r="I20" i="5"/>
  <c r="F20" i="5"/>
  <c r="H20" i="5" s="1"/>
  <c r="K20" i="5" s="1"/>
  <c r="I13" i="5"/>
  <c r="L13" i="5" s="1"/>
  <c r="F13" i="5"/>
  <c r="H13" i="5" s="1"/>
  <c r="K13" i="5" s="1"/>
  <c r="I21" i="5"/>
  <c r="L21" i="5" s="1"/>
  <c r="F21" i="5"/>
  <c r="H21" i="5" s="1"/>
  <c r="K21" i="5" s="1"/>
  <c r="I19" i="5"/>
  <c r="L19" i="5" s="1"/>
  <c r="F19" i="5"/>
  <c r="H19" i="5" s="1"/>
  <c r="K19" i="5" s="1"/>
  <c r="I5" i="5"/>
  <c r="L5" i="5" s="1"/>
  <c r="F5" i="5"/>
  <c r="H5" i="5" s="1"/>
  <c r="K5" i="5" s="1"/>
  <c r="I18" i="5"/>
  <c r="F18" i="5"/>
  <c r="I6" i="6"/>
  <c r="L6" i="6" s="1"/>
  <c r="F6" i="6"/>
  <c r="H6" i="6" s="1"/>
  <c r="K6" i="6" s="1"/>
  <c r="I18" i="6"/>
  <c r="F18" i="6"/>
  <c r="I7" i="6"/>
  <c r="L7" i="6" s="1"/>
  <c r="F7" i="6"/>
  <c r="H7" i="6" s="1"/>
  <c r="K7" i="6" s="1"/>
  <c r="I19" i="6"/>
  <c r="L19" i="6" s="1"/>
  <c r="F19" i="6"/>
  <c r="H19" i="6" s="1"/>
  <c r="K19" i="6" s="1"/>
  <c r="F4" i="6"/>
  <c r="I4" i="6"/>
  <c r="I20" i="6"/>
  <c r="L20" i="6" s="1"/>
  <c r="F20" i="6"/>
  <c r="H20" i="6" s="1"/>
  <c r="K20" i="6" s="1"/>
  <c r="I5" i="6"/>
  <c r="L5" i="6" s="1"/>
  <c r="F5" i="6"/>
  <c r="H5" i="6" s="1"/>
  <c r="K5" i="6" s="1"/>
  <c r="I11" i="6"/>
  <c r="F11" i="6"/>
  <c r="I21" i="6"/>
  <c r="L21" i="6" s="1"/>
  <c r="F21" i="6"/>
  <c r="H21" i="6" s="1"/>
  <c r="K21" i="6" s="1"/>
  <c r="C35" i="6"/>
  <c r="B35" i="6"/>
  <c r="L20" i="5"/>
  <c r="D34" i="5"/>
  <c r="D35" i="5" s="1"/>
  <c r="H24" i="2"/>
  <c r="K24" i="2" s="1"/>
  <c r="L24" i="2"/>
  <c r="L8" i="2"/>
  <c r="H8" i="2"/>
  <c r="K8" i="2" s="1"/>
  <c r="B34" i="5" l="1"/>
  <c r="B35" i="5" s="1"/>
  <c r="F22" i="6"/>
  <c r="H18" i="6"/>
  <c r="H22" i="6" s="1"/>
  <c r="I11" i="5"/>
  <c r="F11" i="5"/>
  <c r="I12" i="5"/>
  <c r="F12" i="5"/>
  <c r="H12" i="5" s="1"/>
  <c r="K12" i="5" s="1"/>
  <c r="I6" i="5"/>
  <c r="L6" i="5" s="1"/>
  <c r="F6" i="5"/>
  <c r="H6" i="5" s="1"/>
  <c r="K6" i="5" s="1"/>
  <c r="I7" i="5"/>
  <c r="F7" i="5"/>
  <c r="H7" i="5" s="1"/>
  <c r="K7" i="5" s="1"/>
  <c r="I14" i="5"/>
  <c r="L14" i="5" s="1"/>
  <c r="F14" i="5"/>
  <c r="H14" i="5" s="1"/>
  <c r="K14" i="5" s="1"/>
  <c r="F4" i="5"/>
  <c r="I4" i="5"/>
  <c r="I14" i="6"/>
  <c r="L14" i="6" s="1"/>
  <c r="F14" i="6"/>
  <c r="H14" i="6" s="1"/>
  <c r="K14" i="6" s="1"/>
  <c r="I13" i="6"/>
  <c r="L13" i="6" s="1"/>
  <c r="F13" i="6"/>
  <c r="H13" i="6" s="1"/>
  <c r="K13" i="6" s="1"/>
  <c r="I12" i="6"/>
  <c r="L12" i="6" s="1"/>
  <c r="F12" i="6"/>
  <c r="H12" i="6" s="1"/>
  <c r="K12" i="6" s="1"/>
  <c r="I22" i="6"/>
  <c r="L18" i="6"/>
  <c r="L22" i="6" s="1"/>
  <c r="F8" i="6"/>
  <c r="H4" i="6"/>
  <c r="H11" i="6"/>
  <c r="L4" i="6"/>
  <c r="L8" i="6" s="1"/>
  <c r="C36" i="6" s="1"/>
  <c r="I8" i="6"/>
  <c r="L11" i="6"/>
  <c r="L7" i="5"/>
  <c r="I22" i="5"/>
  <c r="L18" i="5"/>
  <c r="L22" i="5" s="1"/>
  <c r="H18" i="5"/>
  <c r="F22" i="5"/>
  <c r="L12" i="5"/>
  <c r="K18" i="6" l="1"/>
  <c r="K22" i="6" s="1"/>
  <c r="L15" i="6"/>
  <c r="D36" i="6" s="1"/>
  <c r="D37" i="6" s="1"/>
  <c r="I15" i="6"/>
  <c r="K11" i="6"/>
  <c r="K15" i="6" s="1"/>
  <c r="H15" i="6"/>
  <c r="K4" i="6"/>
  <c r="K8" i="6" s="1"/>
  <c r="B29" i="6" s="1"/>
  <c r="B30" i="6" s="1"/>
  <c r="H8" i="6"/>
  <c r="F15" i="6"/>
  <c r="C37" i="6"/>
  <c r="H22" i="5"/>
  <c r="K18" i="5"/>
  <c r="K22" i="5" s="1"/>
  <c r="F15" i="5"/>
  <c r="H11" i="5"/>
  <c r="F8" i="5"/>
  <c r="H4" i="5"/>
  <c r="L11" i="5"/>
  <c r="L15" i="5" s="1"/>
  <c r="D36" i="5" s="1"/>
  <c r="D37" i="5" s="1"/>
  <c r="I15" i="5"/>
  <c r="L4" i="5"/>
  <c r="L8" i="5" s="1"/>
  <c r="C36" i="5" s="1"/>
  <c r="I8" i="5"/>
  <c r="B25" i="6" l="1"/>
  <c r="B26" i="6" s="1"/>
  <c r="B36" i="6"/>
  <c r="B37" i="6" s="1"/>
  <c r="H15" i="5"/>
  <c r="K11" i="5"/>
  <c r="K15" i="5" s="1"/>
  <c r="B25" i="5" s="1"/>
  <c r="B26" i="5" s="1"/>
  <c r="H8" i="5"/>
  <c r="K4" i="5"/>
  <c r="K8" i="5" s="1"/>
  <c r="B29" i="5" s="1"/>
  <c r="B30" i="5" s="1"/>
  <c r="C37" i="5"/>
  <c r="B36" i="5"/>
  <c r="B37" i="5" s="1"/>
  <c r="J21" i="4" l="1"/>
  <c r="J14" i="4"/>
  <c r="J7" i="4"/>
  <c r="I4" i="4" l="1"/>
  <c r="I5" i="4"/>
  <c r="F5" i="4"/>
  <c r="I6" i="4"/>
  <c r="F6" i="4"/>
  <c r="I21" i="4"/>
  <c r="F21" i="4"/>
  <c r="I7" i="4"/>
  <c r="F7" i="4"/>
  <c r="L21" i="4"/>
  <c r="H21" i="4"/>
  <c r="K21" i="4" s="1"/>
  <c r="L7" i="4"/>
  <c r="H7" i="4"/>
  <c r="K7" i="4" s="1"/>
  <c r="F8" i="4" l="1"/>
  <c r="I8" i="4"/>
  <c r="C45" i="4"/>
  <c r="D44" i="4"/>
  <c r="C44" i="4"/>
  <c r="C46" i="4" s="1"/>
  <c r="B44" i="4"/>
  <c r="C38" i="4"/>
  <c r="D37" i="4"/>
  <c r="B24" i="4"/>
  <c r="B37" i="4" s="1"/>
  <c r="J22" i="4"/>
  <c r="J20" i="4"/>
  <c r="J19" i="4"/>
  <c r="J18" i="4"/>
  <c r="J15" i="4"/>
  <c r="J13" i="4"/>
  <c r="J12" i="4"/>
  <c r="J11" i="4"/>
  <c r="B11" i="4"/>
  <c r="J8" i="4"/>
  <c r="J6" i="4"/>
  <c r="J5" i="4"/>
  <c r="J4" i="4"/>
  <c r="I18" i="4" l="1"/>
  <c r="F18" i="4"/>
  <c r="I20" i="4"/>
  <c r="F20" i="4"/>
  <c r="H20" i="4" s="1"/>
  <c r="K20" i="4" s="1"/>
  <c r="I19" i="4"/>
  <c r="L19" i="4" s="1"/>
  <c r="F19" i="4"/>
  <c r="H19" i="4" s="1"/>
  <c r="K19" i="4" s="1"/>
  <c r="D38" i="4"/>
  <c r="B38" i="4" s="1"/>
  <c r="B39" i="4" s="1"/>
  <c r="D39" i="4"/>
  <c r="L6" i="4"/>
  <c r="H6" i="4"/>
  <c r="K6" i="4" s="1"/>
  <c r="L20" i="4"/>
  <c r="C37" i="4"/>
  <c r="C39" i="4" s="1"/>
  <c r="B45" i="4"/>
  <c r="H18" i="4"/>
  <c r="B46" i="4"/>
  <c r="D45" i="4"/>
  <c r="D46" i="4" s="1"/>
  <c r="C48" i="2"/>
  <c r="C47" i="2"/>
  <c r="D47" i="2"/>
  <c r="B47" i="2"/>
  <c r="D40" i="2"/>
  <c r="J25" i="2"/>
  <c r="J22" i="2"/>
  <c r="J21" i="2"/>
  <c r="J20" i="2"/>
  <c r="J9" i="2"/>
  <c r="J6" i="2"/>
  <c r="J5" i="2"/>
  <c r="J4" i="2"/>
  <c r="J17" i="2"/>
  <c r="J14" i="2"/>
  <c r="J13" i="2"/>
  <c r="J12" i="2"/>
  <c r="C49" i="2" l="1"/>
  <c r="F22" i="4"/>
  <c r="I11" i="4"/>
  <c r="L11" i="4" s="1"/>
  <c r="F11" i="4"/>
  <c r="H22" i="4"/>
  <c r="I13" i="4"/>
  <c r="L13" i="4" s="1"/>
  <c r="F13" i="4"/>
  <c r="H13" i="4" s="1"/>
  <c r="K13" i="4" s="1"/>
  <c r="I12" i="4"/>
  <c r="L12" i="4" s="1"/>
  <c r="F12" i="4"/>
  <c r="I14" i="4"/>
  <c r="L14" i="4" s="1"/>
  <c r="F14" i="4"/>
  <c r="H14" i="4" s="1"/>
  <c r="K14" i="4" s="1"/>
  <c r="I22" i="4"/>
  <c r="K18" i="4"/>
  <c r="K22" i="4" s="1"/>
  <c r="L18" i="4"/>
  <c r="L22" i="4" s="1"/>
  <c r="L4" i="4"/>
  <c r="L5" i="4"/>
  <c r="H5" i="4"/>
  <c r="K5" i="4" s="1"/>
  <c r="H4" i="4"/>
  <c r="C41" i="2"/>
  <c r="B27" i="2"/>
  <c r="B40" i="2" s="1"/>
  <c r="C40" i="2" s="1"/>
  <c r="L15" i="4" l="1"/>
  <c r="D47" i="4" s="1"/>
  <c r="D48" i="4" s="1"/>
  <c r="F15" i="4"/>
  <c r="H11" i="4"/>
  <c r="K11" i="4" s="1"/>
  <c r="I15" i="4"/>
  <c r="D40" i="4" s="1"/>
  <c r="D41" i="4" s="1"/>
  <c r="L8" i="4"/>
  <c r="H8" i="4"/>
  <c r="C40" i="4"/>
  <c r="C41" i="4" s="1"/>
  <c r="C47" i="4"/>
  <c r="C48" i="4" s="1"/>
  <c r="K4" i="4"/>
  <c r="H12" i="4"/>
  <c r="C42" i="2"/>
  <c r="H15" i="4" l="1"/>
  <c r="B25" i="4" s="1"/>
  <c r="B26" i="4" s="1"/>
  <c r="K8" i="4"/>
  <c r="B33" i="4" s="1"/>
  <c r="B34" i="4" s="1"/>
  <c r="K12" i="4"/>
  <c r="B40" i="4"/>
  <c r="B41" i="4" s="1"/>
  <c r="B47" i="4"/>
  <c r="B48" i="4" s="1"/>
  <c r="B12" i="2"/>
  <c r="K15" i="4" l="1"/>
  <c r="B29" i="4" s="1"/>
  <c r="B30" i="4" s="1"/>
  <c r="D41" i="2"/>
  <c r="B48" i="2" s="1"/>
  <c r="B49" i="2" s="1"/>
  <c r="D48" i="2"/>
  <c r="D49" i="2" s="1"/>
  <c r="D42" i="2"/>
  <c r="B41" i="2"/>
  <c r="B42" i="2" s="1"/>
  <c r="L20" i="2"/>
  <c r="F12" i="2" l="1"/>
  <c r="I12" i="2"/>
  <c r="F16" i="2"/>
  <c r="H16" i="2" s="1"/>
  <c r="K16" i="2" s="1"/>
  <c r="I16" i="2"/>
  <c r="L16" i="2" s="1"/>
  <c r="I14" i="2"/>
  <c r="F14" i="2"/>
  <c r="F13" i="2"/>
  <c r="I13" i="2"/>
  <c r="F15" i="2"/>
  <c r="H15" i="2" s="1"/>
  <c r="K15" i="2" s="1"/>
  <c r="I15" i="2"/>
  <c r="L15" i="2" s="1"/>
  <c r="L21" i="2"/>
  <c r="H21" i="2"/>
  <c r="H20" i="2"/>
  <c r="K20" i="2" s="1"/>
  <c r="K21" i="2" l="1"/>
  <c r="H14" i="2" l="1"/>
  <c r="K14" i="2" s="1"/>
  <c r="L14" i="2"/>
  <c r="H12" i="2"/>
  <c r="K12" i="2" s="1"/>
  <c r="L12" i="2"/>
  <c r="L4" i="2"/>
  <c r="F17" i="2"/>
  <c r="H5" i="2"/>
  <c r="K5" i="2" s="1"/>
  <c r="H4" i="2" l="1"/>
  <c r="K4" i="2" s="1"/>
  <c r="F9" i="2"/>
  <c r="L13" i="2"/>
  <c r="L17" i="2" s="1"/>
  <c r="I17" i="2"/>
  <c r="L6" i="2"/>
  <c r="I9" i="2"/>
  <c r="C43" i="2" s="1"/>
  <c r="C44" i="2" s="1"/>
  <c r="L5" i="2"/>
  <c r="F25" i="2"/>
  <c r="I25" i="2"/>
  <c r="H6" i="2"/>
  <c r="H9" i="2" s="1"/>
  <c r="H13" i="2"/>
  <c r="H17" i="2" s="1"/>
  <c r="L9" i="2" l="1"/>
  <c r="C50" i="2" s="1"/>
  <c r="C51" i="2" s="1"/>
  <c r="D43" i="2"/>
  <c r="L22" i="2"/>
  <c r="K13" i="2"/>
  <c r="K17" i="2" s="1"/>
  <c r="H22" i="2"/>
  <c r="H25" i="2" s="1"/>
  <c r="K6" i="2"/>
  <c r="L25" i="2" l="1"/>
  <c r="D50" i="2" s="1"/>
  <c r="K9" i="2"/>
  <c r="B36" i="2" s="1"/>
  <c r="B37" i="2" s="1"/>
  <c r="D44" i="2"/>
  <c r="B43" i="2"/>
  <c r="B44" i="2" s="1"/>
  <c r="B28" i="2"/>
  <c r="B29" i="2" s="1"/>
  <c r="K22" i="2"/>
  <c r="K25" i="2" s="1"/>
  <c r="B50" i="2" l="1"/>
  <c r="B51" i="2" s="1"/>
  <c r="D51" i="2"/>
  <c r="B32" i="2"/>
  <c r="B33" i="2" s="1"/>
</calcChain>
</file>

<file path=xl/sharedStrings.xml><?xml version="1.0" encoding="utf-8"?>
<sst xmlns="http://schemas.openxmlformats.org/spreadsheetml/2006/main" count="334" uniqueCount="82">
  <si>
    <t>Pacific Gas and Electric Company</t>
  </si>
  <si>
    <t xml:space="preserve">2020 RAMP </t>
  </si>
  <si>
    <t xml:space="preserve">RAMP RISK: </t>
  </si>
  <si>
    <t>Program(s)</t>
  </si>
  <si>
    <t>MAT or MWC</t>
  </si>
  <si>
    <t>Program Description</t>
  </si>
  <si>
    <t>Risk Drivers or Consequences being addressed by Mitigation program</t>
  </si>
  <si>
    <t>Year(s) of Implementation</t>
  </si>
  <si>
    <t>Mitigation Effectiveness %</t>
  </si>
  <si>
    <t>Justification for Mitigation Effectiveness %</t>
  </si>
  <si>
    <t>Mitigation Benefit Length</t>
  </si>
  <si>
    <t>Justification for Mitigation Benefit Length</t>
  </si>
  <si>
    <t>LOF</t>
  </si>
  <si>
    <t>Assumptions / Comments</t>
  </si>
  <si>
    <t>Modifying Likelihood of Failure (LOF) or Likelihood of Consequences (COF)?</t>
  </si>
  <si>
    <t>Alternative Mitigation Effectiveness Work paper</t>
  </si>
  <si>
    <t>Enhanced Inspections - DOH</t>
  </si>
  <si>
    <t>D-Line Equipment Failure</t>
  </si>
  <si>
    <t>Ongoing program.</t>
  </si>
  <si>
    <t>non-HFTD</t>
  </si>
  <si>
    <t>A</t>
  </si>
  <si>
    <t>B</t>
  </si>
  <si>
    <t>Tier 2+Zone1+Buffer Zone</t>
  </si>
  <si>
    <t>Tier 3</t>
  </si>
  <si>
    <t>Total</t>
  </si>
  <si>
    <t>1 year.</t>
  </si>
  <si>
    <t>Full control is “Patrols and Inspections – Distribution Overhead” – Enhanced Inspection Program is a component of the control that has changed significantly.
PG&amp;E’s overhauled inspection program that focuses on failure mechanisms identified from the FMEA. The program implemented in December 2018 deployed for all of HFTD, as well as nearby structures in close proximity. Building on this foundation, PG&amp;E is incorporating the Enhanced Inspection processes and tools into the Routine Inspection and Maintenance Program.
Starting in 2020, inspection cycles as follows: 
Tier 3 – annual cycle
Tier 2 – 3 year cycle
non-HFTD – 5 year cycle</t>
  </si>
  <si>
    <t xml:space="preserve">
2020 Tag find rate compared to 2019:   
HFTD was assessed by 2+ methods in 2019 and INCREMENTAL 2020 find rates for anything other than Level1/PriorityA correctives should dramatically decrease;  2020 likely to be only ½ to ¼ of the 2019 level as a RATE .
Tier 3:  A tags = 100%; B = 25% ; E&amp;F = 25%
Tier 2: A =100%; B =25%; E&amp;F tags = 25% 
2020 NonHFTD (Tier 1) tags will be identified at the RATE of 2019 HFTD Tier 2 &amp; 3.
Based on the SME inputs the following Preventive Tag to Equipment Failure caused Outage ratio was assumed.  
Tag A preventive tag to Outage conversion Factor: 70%
Tag B preventive tag to Outage conversion factor: 50%
Tag E&amp;F preventive tag to Outage conversion factor: 1%</t>
  </si>
  <si>
    <t>BFB
(5049035)</t>
  </si>
  <si>
    <t>DOH</t>
  </si>
  <si>
    <t>Mitigation</t>
  </si>
  <si>
    <t>Tranche</t>
  </si>
  <si>
    <t>Expense</t>
  </si>
  <si>
    <t>Units Per Mile</t>
  </si>
  <si>
    <t>Units</t>
  </si>
  <si>
    <t>Spend ($m)</t>
  </si>
  <si>
    <t>Miles</t>
  </si>
  <si>
    <t>Allocate proportionally across all tranches with nonHFTD: 1/5 miles, Tier2: 1/3 Miles, Tier3: 100%</t>
  </si>
  <si>
    <t xml:space="preserve">PG&amp;E estimated the effectiveness of this control by analyzing the no of inspections, preventive tags created and find rate of the 2019 WSIP-Distribution program. The detailed calculations are in the tab Enhanced Insp. 2020 Estimates.
Step 1: Estimate the number of tags created by Enhanced Inspection Program in 2020. To estimate the no of tags created PG&amp;E used the program scope in Tier 3, Tier 2 and Non-HFTD areas.
Estimated Tags in each region = 2020 Expected Find Rate per Mile in each region * Scope of work in 2020 * No of Miles in each region.
Step 2: Multiplying the number of tags estimated in each tier with tag to outage ratio, PG&amp;E estimated the number of outages prevented by the Enhanced Inspection Program. 
Step 3: Control effectiveness is the ratio of the number of outages prevented to average Equipment Failure outages per year. 
</t>
  </si>
  <si>
    <t>Estimated Tags to be found</t>
  </si>
  <si>
    <t>Annual Work Scope</t>
  </si>
  <si>
    <t>Tag to outage Ratio</t>
  </si>
  <si>
    <t>DOH Miles (approx)</t>
  </si>
  <si>
    <t>Equipment Failure Outages per year:</t>
  </si>
  <si>
    <t>Equipment Failure Outage per mile</t>
  </si>
  <si>
    <t>Outages prevented per Enhanced Inspection mile</t>
  </si>
  <si>
    <t>HFTD</t>
  </si>
  <si>
    <t>Overall</t>
  </si>
  <si>
    <t xml:space="preserve">(Scope-adjusted) Average Effectiveness </t>
  </si>
  <si>
    <t xml:space="preserve">Equipment Failure Outage </t>
  </si>
  <si>
    <t>Risk Input sheet from Source Data File</t>
  </si>
  <si>
    <t>Total Miles</t>
  </si>
  <si>
    <t>67% for HFTD
131% for Non-HFTD</t>
  </si>
  <si>
    <t>Outage to Ignition Rate</t>
  </si>
  <si>
    <t>% of Equipment Failures associated with CPUC reportable ignitions</t>
  </si>
  <si>
    <t>Equipment Failure Ignitions in HFTD per year:</t>
  </si>
  <si>
    <t>Equipment Failure Ignition</t>
  </si>
  <si>
    <t>Equipment Failure Ignition per 1000 mile</t>
  </si>
  <si>
    <r>
      <t xml:space="preserve">Control Effectiveness
</t>
    </r>
    <r>
      <rPr>
        <b/>
        <sz val="12"/>
        <color theme="1"/>
        <rFont val="Calibri"/>
        <family val="2"/>
        <scheme val="minor"/>
      </rPr>
      <t>(per Enhanced Inspection mile for reducing equipment failure ignitions)</t>
    </r>
  </si>
  <si>
    <t>Control Effectiveness
(per Enhanced Inspection mile for reducing equipment failure outages)</t>
  </si>
  <si>
    <t>Ignitions prevented per 1000 Enhanced Inspection mile</t>
  </si>
  <si>
    <t>E</t>
  </si>
  <si>
    <t>F</t>
  </si>
  <si>
    <t>TOH Miles (approx)</t>
  </si>
  <si>
    <t>H</t>
  </si>
  <si>
    <t>2019 Total Tags</t>
  </si>
  <si>
    <t>2019 Tag Find Rate (tag/mile)</t>
  </si>
  <si>
    <t>Estimated # Outage to be prevented (outage / mile inspection)</t>
  </si>
  <si>
    <t>Estimated # Ignitions Prevented</t>
  </si>
  <si>
    <t>Estimated # Ignition to be prevented (Ignition / mile inspection)</t>
  </si>
  <si>
    <t>Projected # of ignitions prevented by enhanced inspection tags in 2019</t>
  </si>
  <si>
    <t>Projected # of ignitions prevented by routine inspection tags in 2018</t>
  </si>
  <si>
    <t>2018 Total Tags</t>
  </si>
  <si>
    <t>2018 Tag Find Rate (tag/mile)</t>
  </si>
  <si>
    <t>Estimated # Outages Prevented</t>
  </si>
  <si>
    <t>Equipment Failure Ignitions in non-HFTD per year:</t>
  </si>
  <si>
    <t>Ignitions prevented in HFTD in 2019:</t>
  </si>
  <si>
    <t>Ignitions prevented in non-HFTD in 2018:</t>
  </si>
  <si>
    <t>Ignitions prevented in HFTD in 2018:</t>
  </si>
  <si>
    <t>Outages prevented in 2018:</t>
  </si>
  <si>
    <t>Outages prevented in 2019:</t>
  </si>
  <si>
    <t>Ignitions prevented in non-HFTD in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</si>
</sst>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0_);_(* \(#,##0.000\);_(* &quot;-&quot;??_);_(@_)"/>
    <numFmt numFmtId="166" formatCode="_(* #,##0_);_(* \(#,##0\);_(* &quot;-&quot;??_);_(@_)"/>
    <numFmt numFmtId="167" formatCode="0.000"/>
    <numFmt numFmtId="168" formatCode="0.0"/>
  </numFmts>
  <fonts count="15" x14ac:knownFonts="1">
    <font>
      <sz val="11"/>
      <color theme="1"/>
      <name val="Calibri"/>
      <family val="2"/>
      <scheme val="minor"/>
    </font>
    <font>
      <sz val="9"/>
      <color theme="1"/>
      <name val="Arial"/>
      <family val="2"/>
    </font>
    <font>
      <b/>
      <sz val="9"/>
      <color theme="1"/>
      <name val="Arial"/>
      <family val="2"/>
    </font>
    <font>
      <b/>
      <sz val="9"/>
      <name val="Arial"/>
      <family val="2"/>
    </font>
    <font>
      <sz val="9"/>
      <name val="Arial"/>
      <family val="2"/>
    </font>
    <font>
      <sz val="11"/>
      <color theme="1"/>
      <name val="Calibri"/>
      <family val="2"/>
      <scheme val="minor"/>
    </font>
    <font>
      <b/>
      <sz val="18"/>
      <color theme="1"/>
      <name val="Calibri"/>
      <family val="2"/>
      <scheme val="minor"/>
    </font>
    <font>
      <sz val="18"/>
      <color theme="1"/>
      <name val="Calibri"/>
      <family val="2"/>
      <scheme val="minor"/>
    </font>
    <font>
      <b/>
      <u/>
      <sz val="11"/>
      <color theme="1"/>
      <name val="Calibri"/>
      <family val="2"/>
      <scheme val="minor"/>
    </font>
    <font>
      <b/>
      <sz val="11"/>
      <color theme="1"/>
      <name val="Calibri"/>
      <family val="2"/>
      <scheme val="minor"/>
    </font>
    <font>
      <sz val="10"/>
      <color theme="1"/>
      <name val="Arial"/>
      <family val="2"/>
    </font>
    <font>
      <b/>
      <sz val="8"/>
      <color rgb="FF000000"/>
      <name val="Arial"/>
      <family val="2"/>
    </font>
    <font>
      <b/>
      <sz val="8"/>
      <name val="Arial"/>
      <family val="2"/>
    </font>
    <font>
      <b/>
      <sz val="12"/>
      <color theme="1"/>
      <name val="Calibri"/>
      <family val="2"/>
      <scheme val="minor"/>
    </font>
    <font>
      <sz val="14"/>
      <color theme="1"/>
      <name val="Calibri"/>
      <family val="2"/>
      <scheme val="minor"/>
    </font>
  </fonts>
  <fills count="5">
    <fill>
      <patternFill patternType="none"/>
    </fill>
    <fill>
      <patternFill patternType="gray125"/>
    </fill>
    <fill>
      <patternFill patternType="solid">
        <fgColor rgb="FFEBC6F0"/>
        <bgColor rgb="FF000000"/>
      </patternFill>
    </fill>
    <fill>
      <patternFill patternType="solid">
        <fgColor rgb="FFC4ECFF"/>
        <bgColor rgb="FF000000"/>
      </patternFill>
    </fill>
    <fill>
      <patternFill patternType="solid">
        <fgColor rgb="FFFFFFFF"/>
        <bgColor rgb="FF00000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00338D"/>
      </left>
      <right/>
      <top style="thin">
        <color rgb="FF00338D"/>
      </top>
      <bottom style="thin">
        <color rgb="FF00338D"/>
      </bottom>
      <diagonal/>
    </border>
    <border>
      <left/>
      <right/>
      <top style="thin">
        <color rgb="FF00338D"/>
      </top>
      <bottom style="thin">
        <color rgb="FF00338D"/>
      </bottom>
      <diagonal/>
    </border>
    <border>
      <left/>
      <right style="thin">
        <color rgb="FF00338D"/>
      </right>
      <top style="thin">
        <color rgb="FF00338D"/>
      </top>
      <bottom style="thin">
        <color rgb="FF00338D"/>
      </bottom>
      <diagonal/>
    </border>
    <border>
      <left style="thin">
        <color rgb="FF00338D"/>
      </left>
      <right style="dashed">
        <color rgb="FF00338D"/>
      </right>
      <top style="thin">
        <color rgb="FF00338D"/>
      </top>
      <bottom style="thin">
        <color rgb="FF00338D"/>
      </bottom>
      <diagonal/>
    </border>
    <border>
      <left style="dashed">
        <color rgb="FF00338D"/>
      </left>
      <right style="dashed">
        <color rgb="FF00338D"/>
      </right>
      <top style="thin">
        <color rgb="FF00338D"/>
      </top>
      <bottom style="thin">
        <color rgb="FF00338D"/>
      </bottom>
      <diagonal/>
    </border>
    <border>
      <left style="dashed">
        <color rgb="FF00338D"/>
      </left>
      <right style="thin">
        <color rgb="FF00338D"/>
      </right>
      <top style="thin">
        <color rgb="FF00338D"/>
      </top>
      <bottom style="thin">
        <color rgb="FF00338D"/>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9" fontId="5" fillId="0" borderId="0" applyFont="0" applyFill="0" applyBorder="0" applyAlignment="0" applyProtection="0"/>
    <xf numFmtId="43" fontId="5" fillId="0" borderId="0" applyFont="0" applyFill="0" applyBorder="0" applyAlignment="0" applyProtection="0"/>
  </cellStyleXfs>
  <cellXfs count="77">
    <xf numFmtId="0" fontId="0" fillId="0" borderId="0" xfId="0"/>
    <xf numFmtId="0" fontId="1" fillId="0" borderId="0" xfId="0" applyFont="1" applyAlignment="1">
      <alignment horizontal="centerContinuous"/>
    </xf>
    <xf numFmtId="0" fontId="1" fillId="0" borderId="0" xfId="0" applyFont="1" applyAlignment="1">
      <alignment horizontal="centerContinuous" vertical="top"/>
    </xf>
    <xf numFmtId="0" fontId="1" fillId="0" borderId="0" xfId="0" applyFont="1"/>
    <xf numFmtId="0" fontId="2" fillId="0" borderId="0" xfId="0" applyFont="1"/>
    <xf numFmtId="0" fontId="2" fillId="0" borderId="0" xfId="0" applyFont="1" applyAlignment="1">
      <alignment horizontal="left"/>
    </xf>
    <xf numFmtId="0" fontId="1" fillId="0" borderId="0" xfId="0" applyFont="1" applyAlignment="1">
      <alignment horizontal="left" vertical="top"/>
    </xf>
    <xf numFmtId="0" fontId="3" fillId="0" borderId="1" xfId="0" applyFont="1" applyFill="1" applyBorder="1" applyAlignment="1">
      <alignment horizontal="center" vertical="center" wrapText="1"/>
    </xf>
    <xf numFmtId="0" fontId="4" fillId="0" borderId="0" xfId="0" applyFont="1" applyFill="1"/>
    <xf numFmtId="0" fontId="1" fillId="0" borderId="0" xfId="0" applyFont="1" applyAlignment="1">
      <alignment horizontal="left"/>
    </xf>
    <xf numFmtId="0" fontId="0" fillId="0" borderId="0" xfId="0" applyAlignment="1">
      <alignment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horizontal="center" vertical="center" wrapText="1"/>
    </xf>
    <xf numFmtId="9" fontId="1" fillId="0" borderId="1" xfId="0" applyNumberFormat="1" applyFont="1" applyBorder="1" applyAlignment="1">
      <alignment horizontal="center" vertical="center" wrapText="1"/>
    </xf>
    <xf numFmtId="0" fontId="1" fillId="0" borderId="1" xfId="0" quotePrefix="1" applyFont="1" applyBorder="1" applyAlignment="1">
      <alignment vertical="top" wrapText="1"/>
    </xf>
    <xf numFmtId="0" fontId="1" fillId="0" borderId="1" xfId="0" quotePrefix="1" applyFont="1" applyBorder="1" applyAlignment="1">
      <alignment horizontal="left" vertical="top" wrapText="1"/>
    </xf>
    <xf numFmtId="0" fontId="6" fillId="0" borderId="0" xfId="0" applyFont="1"/>
    <xf numFmtId="0" fontId="7" fillId="0" borderId="0" xfId="0" applyFont="1"/>
    <xf numFmtId="0" fontId="9" fillId="0" borderId="1" xfId="0" applyFont="1" applyBorder="1"/>
    <xf numFmtId="0" fontId="0" fillId="0" borderId="1" xfId="0" applyBorder="1"/>
    <xf numFmtId="2" fontId="0" fillId="0" borderId="0" xfId="0" applyNumberFormat="1"/>
    <xf numFmtId="1" fontId="0" fillId="0" borderId="0" xfId="0" applyNumberFormat="1"/>
    <xf numFmtId="0" fontId="11" fillId="2" borderId="2" xfId="0" applyFont="1" applyFill="1" applyBorder="1" applyAlignment="1">
      <alignment horizontal="centerContinuous"/>
    </xf>
    <xf numFmtId="0" fontId="11" fillId="2" borderId="3" xfId="0" applyFont="1" applyFill="1" applyBorder="1" applyAlignment="1">
      <alignment horizontal="centerContinuous"/>
    </xf>
    <xf numFmtId="0" fontId="11" fillId="2" borderId="4" xfId="0" applyFont="1" applyFill="1" applyBorder="1" applyAlignment="1">
      <alignment horizontal="centerContinuous"/>
    </xf>
    <xf numFmtId="0" fontId="11" fillId="3" borderId="2" xfId="0" applyFont="1" applyFill="1" applyBorder="1" applyAlignment="1">
      <alignment horizontal="centerContinuous"/>
    </xf>
    <xf numFmtId="0" fontId="11" fillId="3" borderId="3" xfId="0" applyFont="1" applyFill="1" applyBorder="1" applyAlignment="1">
      <alignment horizontal="centerContinuous"/>
    </xf>
    <xf numFmtId="0" fontId="11" fillId="3" borderId="4" xfId="0" applyFont="1" applyFill="1" applyBorder="1" applyAlignment="1">
      <alignment horizontal="centerContinuous"/>
    </xf>
    <xf numFmtId="0" fontId="12" fillId="4" borderId="5"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7" xfId="0" applyFont="1" applyFill="1" applyBorder="1" applyAlignment="1">
      <alignment horizontal="center" vertical="center"/>
    </xf>
    <xf numFmtId="0" fontId="0" fillId="0" borderId="0" xfId="0" applyAlignment="1">
      <alignment wrapText="1"/>
    </xf>
    <xf numFmtId="164" fontId="0" fillId="0" borderId="1" xfId="2" applyNumberFormat="1" applyFont="1" applyBorder="1"/>
    <xf numFmtId="1" fontId="0" fillId="0" borderId="1" xfId="0" applyNumberFormat="1" applyBorder="1"/>
    <xf numFmtId="3" fontId="0" fillId="0" borderId="1" xfId="0" applyNumberFormat="1" applyBorder="1"/>
    <xf numFmtId="1" fontId="9" fillId="0" borderId="1" xfId="0" applyNumberFormat="1" applyFont="1" applyBorder="1"/>
    <xf numFmtId="1" fontId="9" fillId="0" borderId="0" xfId="0" applyNumberFormat="1" applyFont="1"/>
    <xf numFmtId="166" fontId="0" fillId="0" borderId="1" xfId="2" applyNumberFormat="1" applyFont="1" applyBorder="1"/>
    <xf numFmtId="166" fontId="0" fillId="0" borderId="0" xfId="2" applyNumberFormat="1" applyFont="1"/>
    <xf numFmtId="0" fontId="9" fillId="0" borderId="1" xfId="0" applyFont="1" applyBorder="1" applyAlignment="1">
      <alignment wrapText="1"/>
    </xf>
    <xf numFmtId="43" fontId="0" fillId="0" borderId="1" xfId="2" applyFont="1" applyBorder="1"/>
    <xf numFmtId="164" fontId="0" fillId="0" borderId="0" xfId="2" applyNumberFormat="1" applyFont="1"/>
    <xf numFmtId="167" fontId="9" fillId="0" borderId="1" xfId="0" applyNumberFormat="1" applyFont="1" applyBorder="1"/>
    <xf numFmtId="0" fontId="8" fillId="0" borderId="1" xfId="0" applyFont="1" applyBorder="1" applyAlignment="1">
      <alignment horizontal="right"/>
    </xf>
    <xf numFmtId="43" fontId="0" fillId="0" borderId="1" xfId="0" applyNumberFormat="1" applyBorder="1"/>
    <xf numFmtId="0" fontId="6" fillId="0" borderId="1" xfId="0" applyFont="1" applyBorder="1" applyAlignment="1">
      <alignment wrapText="1"/>
    </xf>
    <xf numFmtId="9" fontId="6" fillId="0" borderId="1" xfId="1" applyFont="1" applyBorder="1" applyAlignment="1">
      <alignment horizontal="right" vertical="center"/>
    </xf>
    <xf numFmtId="1" fontId="0" fillId="0" borderId="1" xfId="0" applyNumberFormat="1" applyFont="1" applyBorder="1" applyAlignment="1">
      <alignment horizontal="right"/>
    </xf>
    <xf numFmtId="0" fontId="14" fillId="0" borderId="0" xfId="0" applyFont="1"/>
    <xf numFmtId="9" fontId="14" fillId="0" borderId="0" xfId="1" applyFont="1"/>
    <xf numFmtId="10" fontId="0" fillId="0" borderId="1" xfId="1" applyNumberFormat="1" applyFont="1" applyFill="1" applyBorder="1"/>
    <xf numFmtId="9" fontId="9" fillId="0" borderId="1" xfId="1" applyFont="1" applyBorder="1" applyAlignment="1">
      <alignment horizontal="right" vertical="center"/>
    </xf>
    <xf numFmtId="0" fontId="0" fillId="0" borderId="0" xfId="0" applyFont="1"/>
    <xf numFmtId="168" fontId="9" fillId="0" borderId="1" xfId="0" applyNumberFormat="1" applyFont="1" applyBorder="1"/>
    <xf numFmtId="3" fontId="10" fillId="0" borderId="8" xfId="0" applyNumberFormat="1" applyFont="1" applyBorder="1" applyAlignment="1">
      <alignment horizontal="center" vertical="center"/>
    </xf>
    <xf numFmtId="3" fontId="10" fillId="0" borderId="9" xfId="0" applyNumberFormat="1" applyFont="1" applyBorder="1" applyAlignment="1">
      <alignment horizontal="center" vertical="center"/>
    </xf>
    <xf numFmtId="3" fontId="10" fillId="0" borderId="10" xfId="0" applyNumberFormat="1" applyFont="1" applyBorder="1" applyAlignment="1">
      <alignment horizontal="center" vertical="center"/>
    </xf>
    <xf numFmtId="168" fontId="9" fillId="0" borderId="0" xfId="0" applyNumberFormat="1" applyFont="1"/>
    <xf numFmtId="9" fontId="0" fillId="0" borderId="8" xfId="0" applyNumberFormat="1" applyFill="1" applyBorder="1" applyAlignment="1">
      <alignment horizontal="center" vertical="center"/>
    </xf>
    <xf numFmtId="9" fontId="0" fillId="0" borderId="9" xfId="0" applyNumberFormat="1" applyFill="1" applyBorder="1" applyAlignment="1">
      <alignment horizontal="center" vertical="center"/>
    </xf>
    <xf numFmtId="9" fontId="0" fillId="0" borderId="10" xfId="0" applyNumberFormat="1" applyFill="1" applyBorder="1" applyAlignment="1">
      <alignment horizontal="center" vertical="center"/>
    </xf>
    <xf numFmtId="9" fontId="0" fillId="0" borderId="8" xfId="1" applyFont="1" applyFill="1" applyBorder="1" applyAlignment="1">
      <alignment horizontal="center" vertical="center"/>
    </xf>
    <xf numFmtId="9" fontId="0" fillId="0" borderId="9" xfId="1" applyFont="1" applyFill="1" applyBorder="1" applyAlignment="1">
      <alignment horizontal="center" vertical="center"/>
    </xf>
    <xf numFmtId="9" fontId="0" fillId="0" borderId="10" xfId="1" applyFont="1" applyFill="1" applyBorder="1" applyAlignment="1">
      <alignment horizontal="center" vertical="center"/>
    </xf>
    <xf numFmtId="9" fontId="0" fillId="0" borderId="1" xfId="1" applyFont="1" applyFill="1" applyBorder="1"/>
    <xf numFmtId="166" fontId="9" fillId="0" borderId="1" xfId="2" applyNumberFormat="1" applyFont="1" applyBorder="1"/>
    <xf numFmtId="0" fontId="8"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 xfId="0" applyFont="1" applyBorder="1" applyAlignment="1">
      <alignment horizontal="center" vertical="center" wrapText="1"/>
    </xf>
    <xf numFmtId="0" fontId="0" fillId="0" borderId="0" xfId="0" applyAlignment="1">
      <alignment horizontal="center" vertical="center" wrapText="1"/>
    </xf>
    <xf numFmtId="166" fontId="9" fillId="0" borderId="1" xfId="2"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2" applyNumberFormat="1" applyFont="1" applyBorder="1"/>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K10"/>
  <sheetViews>
    <sheetView zoomScaleNormal="100" workbookViewId="0">
      <pane xSplit="2" ySplit="7" topLeftCell="C8" activePane="bottomRight" state="frozen"/>
      <selection activeCell="C8" sqref="C8:C11"/>
      <selection pane="topRight" activeCell="C8" sqref="C8:C11"/>
      <selection pane="bottomLeft" activeCell="C8" sqref="C8:C11"/>
      <selection pane="bottomRight" activeCell="C8" sqref="C8"/>
    </sheetView>
  </sheetViews>
  <sheetFormatPr defaultColWidth="9.140625" defaultRowHeight="12" x14ac:dyDescent="0.2"/>
  <cols>
    <col min="1" max="1" width="22" style="3" bestFit="1" customWidth="1"/>
    <col min="2" max="2" width="19.85546875" style="3" customWidth="1"/>
    <col min="3" max="3" width="112" style="9" customWidth="1"/>
    <col min="4" max="4" width="18" style="3" customWidth="1"/>
    <col min="5" max="5" width="31" style="3" customWidth="1"/>
    <col min="6" max="6" width="20.7109375" style="3" customWidth="1"/>
    <col min="7" max="7" width="19.5703125" style="3" customWidth="1"/>
    <col min="8" max="8" width="88" style="3" customWidth="1"/>
    <col min="9" max="9" width="33.85546875" style="3" customWidth="1"/>
    <col min="10" max="10" width="39" style="3" customWidth="1"/>
    <col min="11" max="11" width="39.7109375" style="6" customWidth="1"/>
    <col min="12" max="16384" width="9.140625" style="3"/>
  </cols>
  <sheetData>
    <row r="1" spans="1:11" x14ac:dyDescent="0.2">
      <c r="A1" s="1" t="s">
        <v>0</v>
      </c>
      <c r="B1" s="1"/>
      <c r="C1" s="1"/>
      <c r="D1" s="1"/>
      <c r="E1" s="1"/>
      <c r="F1" s="1"/>
      <c r="G1" s="1"/>
      <c r="H1" s="1"/>
      <c r="I1" s="1"/>
      <c r="J1" s="1"/>
      <c r="K1" s="2"/>
    </row>
    <row r="2" spans="1:11" x14ac:dyDescent="0.2">
      <c r="A2" s="1" t="s">
        <v>1</v>
      </c>
      <c r="B2" s="1"/>
      <c r="C2" s="1"/>
      <c r="D2" s="1"/>
      <c r="E2" s="1"/>
      <c r="F2" s="1"/>
      <c r="G2" s="1"/>
      <c r="H2" s="1"/>
      <c r="I2" s="1"/>
      <c r="J2" s="1"/>
      <c r="K2" s="2"/>
    </row>
    <row r="3" spans="1:11" x14ac:dyDescent="0.2">
      <c r="A3" s="1" t="s">
        <v>15</v>
      </c>
      <c r="B3" s="1"/>
      <c r="C3" s="1"/>
      <c r="D3" s="1"/>
      <c r="E3" s="1"/>
      <c r="F3" s="1"/>
      <c r="G3" s="1"/>
      <c r="H3" s="9"/>
      <c r="I3" s="1"/>
      <c r="J3" s="1"/>
      <c r="K3" s="2"/>
    </row>
    <row r="5" spans="1:11" x14ac:dyDescent="0.2">
      <c r="A5" s="4" t="s">
        <v>2</v>
      </c>
      <c r="B5" s="4" t="s">
        <v>29</v>
      </c>
      <c r="C5" s="5"/>
    </row>
    <row r="7" spans="1:11" s="8" customFormat="1" ht="78" customHeight="1" x14ac:dyDescent="0.2">
      <c r="A7" s="7" t="s">
        <v>3</v>
      </c>
      <c r="B7" s="7" t="s">
        <v>4</v>
      </c>
      <c r="C7" s="7" t="s">
        <v>5</v>
      </c>
      <c r="D7" s="7" t="s">
        <v>14</v>
      </c>
      <c r="E7" s="7" t="s">
        <v>6</v>
      </c>
      <c r="F7" s="7" t="s">
        <v>7</v>
      </c>
      <c r="G7" s="7" t="s">
        <v>8</v>
      </c>
      <c r="H7" s="7" t="s">
        <v>9</v>
      </c>
      <c r="I7" s="7" t="s">
        <v>10</v>
      </c>
      <c r="J7" s="7" t="s">
        <v>11</v>
      </c>
      <c r="K7" s="7" t="s">
        <v>13</v>
      </c>
    </row>
    <row r="8" spans="1:11" ht="409.5" customHeight="1" x14ac:dyDescent="0.2">
      <c r="A8" s="11" t="s">
        <v>16</v>
      </c>
      <c r="B8" s="16" t="s">
        <v>28</v>
      </c>
      <c r="C8" s="18" t="s">
        <v>26</v>
      </c>
      <c r="D8" s="13" t="s">
        <v>12</v>
      </c>
      <c r="E8" s="16" t="s">
        <v>17</v>
      </c>
      <c r="F8" s="16" t="s">
        <v>18</v>
      </c>
      <c r="G8" s="17" t="s">
        <v>52</v>
      </c>
      <c r="H8" s="12" t="s">
        <v>38</v>
      </c>
      <c r="I8" s="13" t="s">
        <v>25</v>
      </c>
      <c r="J8" s="14"/>
      <c r="K8" s="19" t="s">
        <v>27</v>
      </c>
    </row>
    <row r="9" spans="1:11" x14ac:dyDescent="0.2">
      <c r="C9" s="3"/>
      <c r="J9" s="15"/>
    </row>
    <row r="10" spans="1:11" ht="15" x14ac:dyDescent="0.2">
      <c r="C10" s="10"/>
    </row>
  </sheetData>
  <printOptions horizontalCentered="1"/>
  <pageMargins left="0.7" right="0.7" top="0.75" bottom="0.75" header="0.3" footer="0.3"/>
  <pageSetup scale="41" fitToHeight="0" orientation="landscape" r:id="rId1"/>
  <headerFooter>
    <oddFooter>&amp;CPage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ADF8D-A2FB-C64C-95E5-0B36DE3DEE72}">
  <dimension ref="A1:R3"/>
  <sheetViews>
    <sheetView workbookViewId="0">
      <selection activeCell="R3" sqref="R3"/>
    </sheetView>
  </sheetViews>
  <sheetFormatPr defaultColWidth="11.42578125" defaultRowHeight="15" x14ac:dyDescent="0.25"/>
  <cols>
    <col min="4" max="4" width="13.5703125" bestFit="1" customWidth="1"/>
  </cols>
  <sheetData>
    <row r="1" spans="1:18" x14ac:dyDescent="0.25">
      <c r="A1" t="s">
        <v>30</v>
      </c>
      <c r="B1" t="s">
        <v>31</v>
      </c>
      <c r="C1" t="s">
        <v>32</v>
      </c>
      <c r="D1" t="s">
        <v>33</v>
      </c>
      <c r="E1" s="26" t="s">
        <v>34</v>
      </c>
      <c r="F1" s="27"/>
      <c r="G1" s="27"/>
      <c r="H1" s="27"/>
      <c r="I1" s="27"/>
      <c r="J1" s="27"/>
      <c r="K1" s="28"/>
      <c r="L1" s="29" t="s">
        <v>35</v>
      </c>
      <c r="M1" s="30"/>
      <c r="N1" s="30"/>
      <c r="O1" s="30"/>
      <c r="P1" s="30"/>
      <c r="Q1" s="30"/>
      <c r="R1" s="31"/>
    </row>
    <row r="2" spans="1:18" x14ac:dyDescent="0.25">
      <c r="E2" s="32">
        <v>2020</v>
      </c>
      <c r="F2" s="33">
        <v>2021</v>
      </c>
      <c r="G2" s="33">
        <v>2022</v>
      </c>
      <c r="H2" s="33">
        <v>2023</v>
      </c>
      <c r="I2" s="33">
        <v>2024</v>
      </c>
      <c r="J2" s="33">
        <v>2025</v>
      </c>
      <c r="K2" s="34">
        <v>2026</v>
      </c>
      <c r="L2" s="32">
        <v>2020</v>
      </c>
      <c r="M2" s="33">
        <v>2021</v>
      </c>
      <c r="N2" s="33">
        <v>2022</v>
      </c>
      <c r="O2" s="33">
        <v>2023</v>
      </c>
      <c r="P2" s="33">
        <v>2024</v>
      </c>
      <c r="Q2" s="33">
        <v>2025</v>
      </c>
      <c r="R2" s="34">
        <v>2026</v>
      </c>
    </row>
    <row r="3" spans="1:18" ht="150" x14ac:dyDescent="0.25">
      <c r="A3" s="35" t="s">
        <v>16</v>
      </c>
      <c r="B3" s="35" t="s">
        <v>37</v>
      </c>
      <c r="C3" t="s">
        <v>32</v>
      </c>
      <c r="D3" t="s">
        <v>36</v>
      </c>
      <c r="L3" s="24">
        <v>166.01520199999999</v>
      </c>
      <c r="M3" s="24">
        <v>156.44646800000001</v>
      </c>
      <c r="N3" s="24">
        <v>160.357629</v>
      </c>
      <c r="O3" s="24">
        <v>164.36657</v>
      </c>
      <c r="P3" s="24">
        <v>168.47573399999999</v>
      </c>
      <c r="Q3" s="24">
        <v>172.68762799999999</v>
      </c>
      <c r="R3" s="24">
        <v>177.004818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64200-451F-4DA1-91B9-AC2B36C0E187}">
  <dimension ref="A1:L48"/>
  <sheetViews>
    <sheetView showGridLines="0" workbookViewId="0">
      <selection activeCell="J11" sqref="J11"/>
    </sheetView>
  </sheetViews>
  <sheetFormatPr defaultColWidth="11.42578125" defaultRowHeight="15" x14ac:dyDescent="0.25"/>
  <cols>
    <col min="1" max="1" width="48.28515625" customWidth="1"/>
    <col min="2" max="2" width="12.28515625" customWidth="1"/>
    <col min="3" max="3" width="29.7109375" customWidth="1"/>
    <col min="4" max="4" width="23.28515625" customWidth="1"/>
    <col min="5" max="5" width="18.5703125" bestFit="1" customWidth="1"/>
    <col min="6" max="6" width="14.85546875" customWidth="1"/>
    <col min="7" max="7" width="18.140625" bestFit="1" customWidth="1"/>
    <col min="8" max="8" width="23" customWidth="1"/>
    <col min="9" max="9" width="33.5703125" bestFit="1" customWidth="1"/>
    <col min="10" max="10" width="21.5703125" customWidth="1"/>
    <col min="11" max="11" width="23.5703125" customWidth="1"/>
    <col min="12" max="12" width="33.5703125" customWidth="1"/>
  </cols>
  <sheetData>
    <row r="1" spans="1:12" s="21" customFormat="1" ht="23.25" x14ac:dyDescent="0.35">
      <c r="A1" s="20" t="s">
        <v>71</v>
      </c>
    </row>
    <row r="2" spans="1:12" x14ac:dyDescent="0.25">
      <c r="J2" t="s">
        <v>54</v>
      </c>
    </row>
    <row r="3" spans="1:12" s="73" customFormat="1" ht="33" customHeight="1" x14ac:dyDescent="0.25">
      <c r="A3" s="70" t="s">
        <v>19</v>
      </c>
      <c r="B3" s="71" t="s">
        <v>42</v>
      </c>
      <c r="C3" s="72" t="s">
        <v>72</v>
      </c>
      <c r="D3" s="72" t="s">
        <v>73</v>
      </c>
      <c r="E3" s="72" t="s">
        <v>40</v>
      </c>
      <c r="F3" s="72" t="s">
        <v>39</v>
      </c>
      <c r="G3" s="72" t="s">
        <v>41</v>
      </c>
      <c r="H3" s="72" t="s">
        <v>74</v>
      </c>
      <c r="I3" s="72" t="s">
        <v>67</v>
      </c>
      <c r="J3" s="75" t="s">
        <v>53</v>
      </c>
      <c r="K3" s="75" t="s">
        <v>68</v>
      </c>
      <c r="L3" s="72" t="s">
        <v>69</v>
      </c>
    </row>
    <row r="4" spans="1:12" x14ac:dyDescent="0.25">
      <c r="A4" s="22" t="s">
        <v>20</v>
      </c>
      <c r="B4" s="58">
        <v>55300</v>
      </c>
      <c r="C4" s="38">
        <v>717</v>
      </c>
      <c r="D4" s="36">
        <f>C4/($B$4)/$E$4</f>
        <v>6.4828209764918626E-2</v>
      </c>
      <c r="E4" s="62">
        <v>0.2</v>
      </c>
      <c r="F4" s="41">
        <f>D4*$B$4*$E$4</f>
        <v>717</v>
      </c>
      <c r="G4" s="68">
        <v>0.7</v>
      </c>
      <c r="H4" s="37">
        <f>F4*G4</f>
        <v>501.9</v>
      </c>
      <c r="I4" s="36">
        <f>D4*G4</f>
        <v>4.5379746835443033E-2</v>
      </c>
      <c r="J4" s="54">
        <f>288/23219</f>
        <v>1.2403634954132391E-2</v>
      </c>
      <c r="K4" s="37">
        <f>H4*J4</f>
        <v>6.2253843834790468</v>
      </c>
      <c r="L4" s="36">
        <f>I4*J4</f>
        <v>5.6287381405777993E-4</v>
      </c>
    </row>
    <row r="5" spans="1:12" x14ac:dyDescent="0.25">
      <c r="A5" s="22" t="s">
        <v>21</v>
      </c>
      <c r="B5" s="59"/>
      <c r="C5" s="38">
        <v>1104</v>
      </c>
      <c r="D5" s="36">
        <f t="shared" ref="D5:D7" si="0">C5/($B$4)/$E$4</f>
        <v>9.9819168173598552E-2</v>
      </c>
      <c r="E5" s="63"/>
      <c r="F5" s="41">
        <f>D5*$B$4*$E$4</f>
        <v>1104</v>
      </c>
      <c r="G5" s="68">
        <v>0.5</v>
      </c>
      <c r="H5" s="37">
        <f t="shared" ref="H5:H6" si="1">F5*G5</f>
        <v>552</v>
      </c>
      <c r="I5" s="36">
        <f>D5*G5</f>
        <v>4.9909584086799276E-2</v>
      </c>
      <c r="J5" s="54">
        <f t="shared" ref="J5:J8" si="2">288/23219</f>
        <v>1.2403634954132391E-2</v>
      </c>
      <c r="K5" s="37">
        <f t="shared" ref="K5:K6" si="3">H5*J5</f>
        <v>6.84680649468108</v>
      </c>
      <c r="L5" s="36">
        <f t="shared" ref="L5:L6" si="4">I5*J5</f>
        <v>6.1906026172523323E-4</v>
      </c>
    </row>
    <row r="6" spans="1:12" x14ac:dyDescent="0.25">
      <c r="A6" s="22" t="s">
        <v>61</v>
      </c>
      <c r="B6" s="59"/>
      <c r="C6" s="38">
        <v>10270</v>
      </c>
      <c r="D6" s="36">
        <f t="shared" si="0"/>
        <v>0.9285714285714286</v>
      </c>
      <c r="E6" s="63"/>
      <c r="F6" s="41">
        <f>D6*$B$4*$E$4</f>
        <v>10270</v>
      </c>
      <c r="G6" s="68">
        <v>0.01</v>
      </c>
      <c r="H6" s="37">
        <f t="shared" si="1"/>
        <v>102.7</v>
      </c>
      <c r="I6" s="36">
        <f>D6*G6</f>
        <v>9.285714285714286E-3</v>
      </c>
      <c r="J6" s="54">
        <f t="shared" si="2"/>
        <v>1.2403634954132391E-2</v>
      </c>
      <c r="K6" s="37">
        <f t="shared" si="3"/>
        <v>1.2738533097893967</v>
      </c>
      <c r="L6" s="36">
        <f t="shared" si="4"/>
        <v>1.151766102883722E-4</v>
      </c>
    </row>
    <row r="7" spans="1:12" x14ac:dyDescent="0.25">
      <c r="A7" s="22" t="s">
        <v>62</v>
      </c>
      <c r="B7" s="60"/>
      <c r="C7" s="38">
        <v>8986</v>
      </c>
      <c r="D7" s="36">
        <f t="shared" si="0"/>
        <v>0.81247739602169977</v>
      </c>
      <c r="E7" s="64"/>
      <c r="F7" s="41">
        <f>D7*$B$4*$E$4</f>
        <v>8986</v>
      </c>
      <c r="G7" s="68">
        <v>0.01</v>
      </c>
      <c r="H7" s="37">
        <f t="shared" ref="H7" si="5">F7*G7</f>
        <v>89.86</v>
      </c>
      <c r="I7" s="36">
        <f>D7*G7</f>
        <v>8.124773960216998E-3</v>
      </c>
      <c r="J7" s="54">
        <f t="shared" si="2"/>
        <v>1.2403634954132391E-2</v>
      </c>
      <c r="K7" s="37">
        <f t="shared" ref="K7" si="6">H7*J7</f>
        <v>1.1145906369783367</v>
      </c>
      <c r="L7" s="36">
        <f t="shared" ref="L7" si="7">I7*J7</f>
        <v>1.0077673028737221E-4</v>
      </c>
    </row>
    <row r="8" spans="1:12" x14ac:dyDescent="0.25">
      <c r="A8" s="22" t="s">
        <v>24</v>
      </c>
      <c r="B8" s="22"/>
      <c r="C8" s="23"/>
      <c r="D8" s="23"/>
      <c r="E8" s="23"/>
      <c r="F8" s="41">
        <f>SUM(F4:F7)</f>
        <v>21077</v>
      </c>
      <c r="G8" s="22"/>
      <c r="H8" s="39">
        <f>SUM(H4:H7)</f>
        <v>1246.46</v>
      </c>
      <c r="I8" s="46">
        <f>SUM(I4:I7)</f>
        <v>0.11269981916817359</v>
      </c>
      <c r="J8" s="54">
        <f t="shared" si="2"/>
        <v>1.2403634954132391E-2</v>
      </c>
      <c r="K8" s="57">
        <f>SUM(K4:K7)</f>
        <v>15.46063482492786</v>
      </c>
      <c r="L8" s="46">
        <f>SUM(L4:L7)</f>
        <v>1.3978874163587574E-3</v>
      </c>
    </row>
    <row r="9" spans="1:12" ht="20.25" customHeight="1" x14ac:dyDescent="0.25">
      <c r="F9" s="42"/>
      <c r="H9" s="25"/>
      <c r="I9" s="45"/>
    </row>
    <row r="10" spans="1:12" s="73" customFormat="1" ht="33" customHeight="1" x14ac:dyDescent="0.25">
      <c r="A10" s="70" t="s">
        <v>22</v>
      </c>
      <c r="B10" s="71" t="s">
        <v>42</v>
      </c>
      <c r="C10" s="72" t="s">
        <v>72</v>
      </c>
      <c r="D10" s="72" t="s">
        <v>73</v>
      </c>
      <c r="E10" s="72" t="s">
        <v>40</v>
      </c>
      <c r="F10" s="72" t="s">
        <v>39</v>
      </c>
      <c r="G10" s="72" t="s">
        <v>41</v>
      </c>
      <c r="H10" s="72" t="s">
        <v>74</v>
      </c>
      <c r="I10" s="72" t="s">
        <v>67</v>
      </c>
      <c r="J10" s="75" t="s">
        <v>53</v>
      </c>
      <c r="K10" s="75" t="s">
        <v>68</v>
      </c>
      <c r="L10" s="72" t="s">
        <v>69</v>
      </c>
    </row>
    <row r="11" spans="1:12" x14ac:dyDescent="0.25">
      <c r="A11" s="22" t="s">
        <v>20</v>
      </c>
      <c r="B11" s="58">
        <f>18200+110</f>
        <v>18310</v>
      </c>
      <c r="C11" s="41">
        <v>3</v>
      </c>
      <c r="D11" s="36">
        <f>C11/($B$11)/$E$11</f>
        <v>8.19224467504096E-4</v>
      </c>
      <c r="E11" s="65">
        <v>0.2</v>
      </c>
      <c r="F11" s="41">
        <f>D11*$B$11*$E$11</f>
        <v>3</v>
      </c>
      <c r="G11" s="68">
        <v>0.7</v>
      </c>
      <c r="H11" s="37">
        <f>F11*G11</f>
        <v>2.0999999999999996</v>
      </c>
      <c r="I11" s="36">
        <f>D11*G11</f>
        <v>5.7345712725286719E-4</v>
      </c>
      <c r="J11" s="54">
        <f>264/20699</f>
        <v>1.2754239335233586E-2</v>
      </c>
      <c r="K11" s="37">
        <f>H11*J11</f>
        <v>2.6783902603990526E-2</v>
      </c>
      <c r="L11" s="36">
        <f>I11*J11</f>
        <v>7.3140094494785707E-6</v>
      </c>
    </row>
    <row r="12" spans="1:12" x14ac:dyDescent="0.25">
      <c r="A12" s="22" t="s">
        <v>21</v>
      </c>
      <c r="B12" s="59"/>
      <c r="C12" s="41">
        <v>397</v>
      </c>
      <c r="D12" s="36">
        <f t="shared" ref="D12:D14" si="8">C12/($B$11)/$E$11</f>
        <v>0.10841070453304205</v>
      </c>
      <c r="E12" s="66"/>
      <c r="F12" s="41">
        <f>D12*$B$11*$E$11</f>
        <v>397</v>
      </c>
      <c r="G12" s="68">
        <v>0.5</v>
      </c>
      <c r="H12" s="37">
        <f t="shared" ref="H12:H13" si="9">F12*G12</f>
        <v>198.5</v>
      </c>
      <c r="I12" s="36">
        <f>D12*G12</f>
        <v>5.4205352266521026E-2</v>
      </c>
      <c r="J12" s="54">
        <f t="shared" ref="J12:J15" si="10">264/20699</f>
        <v>1.2754239335233586E-2</v>
      </c>
      <c r="K12" s="37">
        <f t="shared" ref="K12:K13" si="11">H12*J12</f>
        <v>2.5317165080438668</v>
      </c>
      <c r="L12" s="36">
        <f t="shared" ref="L12:L13" si="12">I12*J12</f>
        <v>6.9134803605785554E-4</v>
      </c>
    </row>
    <row r="13" spans="1:12" x14ac:dyDescent="0.25">
      <c r="A13" s="22" t="s">
        <v>61</v>
      </c>
      <c r="B13" s="59"/>
      <c r="C13" s="41">
        <v>6120</v>
      </c>
      <c r="D13" s="36">
        <f t="shared" si="8"/>
        <v>1.671217913708356</v>
      </c>
      <c r="E13" s="66"/>
      <c r="F13" s="41">
        <f>D13*$B$11*$E$11</f>
        <v>6120</v>
      </c>
      <c r="G13" s="68">
        <v>0.01</v>
      </c>
      <c r="H13" s="37">
        <f t="shared" si="9"/>
        <v>61.2</v>
      </c>
      <c r="I13" s="36">
        <f>D13*G13</f>
        <v>1.671217913708356E-2</v>
      </c>
      <c r="J13" s="54">
        <f t="shared" si="10"/>
        <v>1.2754239335233586E-2</v>
      </c>
      <c r="K13" s="37">
        <f t="shared" si="11"/>
        <v>0.78055944731629556</v>
      </c>
      <c r="L13" s="36">
        <f t="shared" si="12"/>
        <v>2.1315113252766123E-4</v>
      </c>
    </row>
    <row r="14" spans="1:12" x14ac:dyDescent="0.25">
      <c r="A14" s="22" t="s">
        <v>62</v>
      </c>
      <c r="B14" s="60"/>
      <c r="C14" s="41">
        <v>4392</v>
      </c>
      <c r="D14" s="36">
        <f t="shared" si="8"/>
        <v>1.1993446204259965</v>
      </c>
      <c r="E14" s="67"/>
      <c r="F14" s="41">
        <f>D14*$B$11*$E$11</f>
        <v>4391.9999999999991</v>
      </c>
      <c r="G14" s="68">
        <v>0.01</v>
      </c>
      <c r="H14" s="37">
        <f t="shared" ref="H14" si="13">F14*G14</f>
        <v>43.919999999999995</v>
      </c>
      <c r="I14" s="36">
        <f>D14*G14</f>
        <v>1.1993446204259966E-2</v>
      </c>
      <c r="J14" s="54">
        <f t="shared" si="10"/>
        <v>1.2754239335233586E-2</v>
      </c>
      <c r="K14" s="37">
        <f t="shared" ref="K14" si="14">H14*J14</f>
        <v>0.56016619160345904</v>
      </c>
      <c r="L14" s="36">
        <f t="shared" ref="L14" si="15">I14*J14</f>
        <v>1.5296728334338042E-4</v>
      </c>
    </row>
    <row r="15" spans="1:12" x14ac:dyDescent="0.25">
      <c r="A15" s="22" t="s">
        <v>24</v>
      </c>
      <c r="B15" s="22"/>
      <c r="C15" s="23"/>
      <c r="D15" s="23"/>
      <c r="E15" s="23"/>
      <c r="F15" s="41">
        <f>SUM(F11:F14)</f>
        <v>10912</v>
      </c>
      <c r="G15" s="22"/>
      <c r="H15" s="39">
        <f>SUM(H11:H14)</f>
        <v>305.72000000000003</v>
      </c>
      <c r="I15" s="46">
        <f>SUM(I11:I14)</f>
        <v>8.3484434735117408E-2</v>
      </c>
      <c r="J15" s="54">
        <f t="shared" si="10"/>
        <v>1.2754239335233586E-2</v>
      </c>
      <c r="K15" s="57">
        <f>SUM(K11:K14)</f>
        <v>3.8992260495676119</v>
      </c>
      <c r="L15" s="46">
        <f>SUM(L11:L14)</f>
        <v>1.0647804613783758E-3</v>
      </c>
    </row>
    <row r="16" spans="1:12" ht="36.75" customHeight="1" x14ac:dyDescent="0.25">
      <c r="F16" s="42"/>
      <c r="H16" s="25"/>
      <c r="I16" s="45"/>
    </row>
    <row r="17" spans="1:12" s="73" customFormat="1" ht="33" customHeight="1" x14ac:dyDescent="0.25">
      <c r="A17" s="70" t="s">
        <v>23</v>
      </c>
      <c r="B17" s="71" t="s">
        <v>42</v>
      </c>
      <c r="C17" s="72" t="s">
        <v>72</v>
      </c>
      <c r="D17" s="72" t="s">
        <v>73</v>
      </c>
      <c r="E17" s="72" t="s">
        <v>40</v>
      </c>
      <c r="F17" s="72" t="s">
        <v>39</v>
      </c>
      <c r="G17" s="72" t="s">
        <v>41</v>
      </c>
      <c r="H17" s="72" t="s">
        <v>74</v>
      </c>
      <c r="I17" s="72" t="s">
        <v>67</v>
      </c>
      <c r="J17" s="75" t="s">
        <v>53</v>
      </c>
      <c r="K17" s="75" t="s">
        <v>68</v>
      </c>
      <c r="L17" s="72" t="s">
        <v>69</v>
      </c>
    </row>
    <row r="18" spans="1:12" x14ac:dyDescent="0.25">
      <c r="A18" s="22" t="s">
        <v>20</v>
      </c>
      <c r="B18" s="58">
        <v>7100</v>
      </c>
      <c r="C18" s="41">
        <v>4</v>
      </c>
      <c r="D18" s="36">
        <f>C18/$B$18/$E$18</f>
        <v>2.8169014084507044E-3</v>
      </c>
      <c r="E18" s="65">
        <v>0.2</v>
      </c>
      <c r="F18" s="41">
        <f>D18*$E$18*$B$18</f>
        <v>4</v>
      </c>
      <c r="G18" s="68">
        <v>0.7</v>
      </c>
      <c r="H18" s="37">
        <f>F18*G18</f>
        <v>2.8</v>
      </c>
      <c r="I18" s="36">
        <f>D18*G18</f>
        <v>1.9718309859154928E-3</v>
      </c>
      <c r="J18" s="54">
        <f>264/20699</f>
        <v>1.2754239335233586E-2</v>
      </c>
      <c r="K18" s="37">
        <f>H18*J18</f>
        <v>3.5711870138654039E-2</v>
      </c>
      <c r="L18" s="36">
        <f>I18*J18</f>
        <v>2.5149204322995802E-5</v>
      </c>
    </row>
    <row r="19" spans="1:12" x14ac:dyDescent="0.25">
      <c r="A19" s="22" t="s">
        <v>21</v>
      </c>
      <c r="B19" s="59"/>
      <c r="C19" s="41">
        <v>251</v>
      </c>
      <c r="D19" s="36">
        <f t="shared" ref="D19:D21" si="16">C19/$B$18/$E$18</f>
        <v>0.1767605633802817</v>
      </c>
      <c r="E19" s="66"/>
      <c r="F19" s="41">
        <f>D19*$E$18*$B$18</f>
        <v>251.00000000000003</v>
      </c>
      <c r="G19" s="68">
        <v>0.5</v>
      </c>
      <c r="H19" s="37">
        <f t="shared" ref="H19:H20" si="17">F19*G19</f>
        <v>125.50000000000001</v>
      </c>
      <c r="I19" s="36">
        <f>D19*G19</f>
        <v>8.8380281690140852E-2</v>
      </c>
      <c r="J19" s="54">
        <f t="shared" ref="J19:J22" si="18">264/20699</f>
        <v>1.2754239335233586E-2</v>
      </c>
      <c r="K19" s="37">
        <f t="shared" ref="K19:K20" si="19">H19*J19</f>
        <v>1.6006570365718154</v>
      </c>
      <c r="L19" s="36">
        <f t="shared" ref="L19:L20" si="20">I19*J19</f>
        <v>1.1272232651914191E-3</v>
      </c>
    </row>
    <row r="20" spans="1:12" x14ac:dyDescent="0.25">
      <c r="A20" s="22" t="s">
        <v>61</v>
      </c>
      <c r="B20" s="59"/>
      <c r="C20" s="41">
        <v>2444</v>
      </c>
      <c r="D20" s="36">
        <f t="shared" si="16"/>
        <v>1.7211267605633802</v>
      </c>
      <c r="E20" s="66"/>
      <c r="F20" s="41">
        <f>D20*$E$18*$B$18</f>
        <v>2444</v>
      </c>
      <c r="G20" s="68">
        <v>0.01</v>
      </c>
      <c r="H20" s="37">
        <f t="shared" si="17"/>
        <v>24.44</v>
      </c>
      <c r="I20" s="36">
        <f>D20*G20</f>
        <v>1.7211267605633802E-2</v>
      </c>
      <c r="J20" s="54">
        <f t="shared" si="18"/>
        <v>1.2754239335233586E-2</v>
      </c>
      <c r="K20" s="37">
        <f t="shared" si="19"/>
        <v>0.31171360935310888</v>
      </c>
      <c r="L20" s="36">
        <f t="shared" si="20"/>
        <v>2.1951662630500623E-4</v>
      </c>
    </row>
    <row r="21" spans="1:12" x14ac:dyDescent="0.25">
      <c r="A21" s="22" t="s">
        <v>62</v>
      </c>
      <c r="B21" s="60"/>
      <c r="C21" s="41">
        <v>3258</v>
      </c>
      <c r="D21" s="36">
        <f t="shared" si="16"/>
        <v>2.2943661971830984</v>
      </c>
      <c r="E21" s="67"/>
      <c r="F21" s="41">
        <f>D21*$E$18*$B$18</f>
        <v>3258</v>
      </c>
      <c r="G21" s="68">
        <v>0.01</v>
      </c>
      <c r="H21" s="37">
        <f t="shared" ref="H21" si="21">F21*G21</f>
        <v>32.58</v>
      </c>
      <c r="I21" s="36">
        <f>D21*G21</f>
        <v>2.2943661971830984E-2</v>
      </c>
      <c r="J21" s="54">
        <f t="shared" si="18"/>
        <v>1.2754239335233586E-2</v>
      </c>
      <c r="K21" s="37">
        <f t="shared" ref="K21" si="22">H21*J21</f>
        <v>0.41553311754191019</v>
      </c>
      <c r="L21" s="36">
        <f t="shared" ref="L21" si="23">I21*J21</f>
        <v>2.9262895601542971E-4</v>
      </c>
    </row>
    <row r="22" spans="1:12" x14ac:dyDescent="0.25">
      <c r="A22" s="22" t="s">
        <v>24</v>
      </c>
      <c r="B22" s="22"/>
      <c r="C22" s="23"/>
      <c r="D22" s="23"/>
      <c r="E22" s="23"/>
      <c r="F22" s="41">
        <f>SUM(F18:F21)</f>
        <v>5957</v>
      </c>
      <c r="G22" s="22"/>
      <c r="H22" s="39">
        <f>SUM(H18:H21)</f>
        <v>185.32</v>
      </c>
      <c r="I22" s="46">
        <f>SUM(I18:I21)</f>
        <v>0.13050704225352114</v>
      </c>
      <c r="J22" s="54">
        <f t="shared" si="18"/>
        <v>1.2754239335233586E-2</v>
      </c>
      <c r="K22" s="57">
        <f>SUM(K18:K21)</f>
        <v>2.3636156336054888</v>
      </c>
      <c r="L22" s="46">
        <f>SUM(L18:L21)</f>
        <v>1.6645180518348507E-3</v>
      </c>
    </row>
    <row r="24" spans="1:12" x14ac:dyDescent="0.25">
      <c r="A24" t="s">
        <v>43</v>
      </c>
      <c r="B24" s="25">
        <f>43918/5</f>
        <v>8783.6</v>
      </c>
      <c r="C24" t="s">
        <v>50</v>
      </c>
      <c r="F24" s="25"/>
      <c r="H24" s="25"/>
      <c r="J24" s="25"/>
    </row>
    <row r="25" spans="1:12" x14ac:dyDescent="0.25">
      <c r="A25" t="s">
        <v>79</v>
      </c>
      <c r="B25" s="40">
        <f>H8+H15+H22</f>
        <v>1737.5</v>
      </c>
      <c r="F25" s="40"/>
      <c r="H25" s="40"/>
      <c r="J25" s="40"/>
    </row>
    <row r="26" spans="1:12" ht="18.75" x14ac:dyDescent="0.3">
      <c r="A26" s="52" t="s">
        <v>48</v>
      </c>
      <c r="B26" s="53">
        <f>B25/B24</f>
        <v>0.19781183113985154</v>
      </c>
      <c r="E26" s="52"/>
      <c r="F26" s="53"/>
      <c r="I26" s="52"/>
      <c r="J26" s="53"/>
    </row>
    <row r="27" spans="1:12" ht="18.75" x14ac:dyDescent="0.3">
      <c r="A27" s="52"/>
      <c r="B27" s="53"/>
      <c r="E27" s="52"/>
      <c r="F27" s="53"/>
      <c r="I27" s="52"/>
      <c r="J27" s="53"/>
    </row>
    <row r="28" spans="1:12" x14ac:dyDescent="0.25">
      <c r="A28" t="s">
        <v>55</v>
      </c>
      <c r="B28" s="25">
        <f>181.72/5</f>
        <v>36.344000000000001</v>
      </c>
      <c r="C28" t="s">
        <v>50</v>
      </c>
      <c r="F28" s="25"/>
      <c r="H28" s="25"/>
      <c r="J28" s="25"/>
    </row>
    <row r="29" spans="1:12" x14ac:dyDescent="0.25">
      <c r="A29" t="s">
        <v>78</v>
      </c>
      <c r="B29" s="61">
        <f>K15+K22</f>
        <v>6.2628416831731002</v>
      </c>
      <c r="F29" s="40"/>
      <c r="H29" s="40"/>
      <c r="J29" s="40"/>
    </row>
    <row r="30" spans="1:12" ht="18.75" x14ac:dyDescent="0.3">
      <c r="A30" s="52" t="s">
        <v>48</v>
      </c>
      <c r="B30" s="53">
        <f>B29/B28</f>
        <v>0.17232119973511723</v>
      </c>
      <c r="E30" s="52"/>
      <c r="F30" s="53"/>
      <c r="I30" s="52"/>
      <c r="J30" s="53"/>
    </row>
    <row r="31" spans="1:12" ht="18.75" x14ac:dyDescent="0.3">
      <c r="A31" s="52"/>
      <c r="B31" s="53"/>
      <c r="E31" s="52"/>
      <c r="F31" s="53"/>
      <c r="I31" s="52"/>
      <c r="J31" s="53"/>
    </row>
    <row r="32" spans="1:12" x14ac:dyDescent="0.25">
      <c r="A32" t="s">
        <v>75</v>
      </c>
      <c r="B32" s="25">
        <f>651/5</f>
        <v>130.19999999999999</v>
      </c>
      <c r="C32" t="s">
        <v>50</v>
      </c>
      <c r="F32" s="25"/>
      <c r="H32" s="25"/>
      <c r="J32" s="25"/>
    </row>
    <row r="33" spans="1:10" x14ac:dyDescent="0.25">
      <c r="A33" t="s">
        <v>77</v>
      </c>
      <c r="B33" s="61">
        <f>K8</f>
        <v>15.46063482492786</v>
      </c>
      <c r="F33" s="40"/>
      <c r="H33" s="40"/>
      <c r="J33" s="40"/>
    </row>
    <row r="34" spans="1:10" ht="18.75" x14ac:dyDescent="0.3">
      <c r="A34" s="52" t="s">
        <v>48</v>
      </c>
      <c r="B34" s="53">
        <f>B33/B32</f>
        <v>0.11874527515305577</v>
      </c>
      <c r="E34" s="52"/>
      <c r="F34" s="53"/>
      <c r="I34" s="52"/>
      <c r="J34" s="53"/>
    </row>
    <row r="35" spans="1:10" ht="18.75" x14ac:dyDescent="0.3">
      <c r="A35" s="52"/>
      <c r="B35" s="53"/>
      <c r="E35" s="52"/>
      <c r="F35" s="53"/>
      <c r="I35" s="52"/>
      <c r="J35" s="53"/>
    </row>
    <row r="36" spans="1:10" x14ac:dyDescent="0.25">
      <c r="A36" s="23"/>
      <c r="B36" s="47" t="s">
        <v>47</v>
      </c>
      <c r="C36" s="47" t="s">
        <v>19</v>
      </c>
      <c r="D36" s="47" t="s">
        <v>46</v>
      </c>
    </row>
    <row r="37" spans="1:10" x14ac:dyDescent="0.25">
      <c r="A37" s="23" t="s">
        <v>49</v>
      </c>
      <c r="B37" s="51">
        <f>B24</f>
        <v>8783.6</v>
      </c>
      <c r="C37" s="51">
        <f>B37-D37</f>
        <v>6788.4000000000005</v>
      </c>
      <c r="D37" s="51">
        <f>9976/5</f>
        <v>1995.2</v>
      </c>
    </row>
    <row r="38" spans="1:10" x14ac:dyDescent="0.25">
      <c r="A38" s="23" t="s">
        <v>51</v>
      </c>
      <c r="B38" s="51">
        <f>C38+D38</f>
        <v>80710</v>
      </c>
      <c r="C38" s="51">
        <f>B4</f>
        <v>55300</v>
      </c>
      <c r="D38" s="51">
        <f>B11+B18</f>
        <v>25410</v>
      </c>
    </row>
    <row r="39" spans="1:10" x14ac:dyDescent="0.25">
      <c r="A39" s="23" t="s">
        <v>44</v>
      </c>
      <c r="B39" s="48">
        <f>B37/B38</f>
        <v>0.10882914137033825</v>
      </c>
      <c r="C39" s="48">
        <f>C37/C38</f>
        <v>0.12275587703435806</v>
      </c>
      <c r="D39" s="44">
        <f>D37/D38</f>
        <v>7.8520267611176697E-2</v>
      </c>
    </row>
    <row r="40" spans="1:10" x14ac:dyDescent="0.25">
      <c r="A40" s="23" t="s">
        <v>45</v>
      </c>
      <c r="B40" s="44">
        <f>C40*C38/$B$38+$D$40*D38/$B$38</f>
        <v>0.10763845867922189</v>
      </c>
      <c r="C40" s="44">
        <f>I8</f>
        <v>0.11269981916817359</v>
      </c>
      <c r="D40" s="44">
        <f>$I$15*B11*E11/($B$11*$E$11+$B$18*$E$18)+$I$22*B18*E18/($B$11*$E$11+$B$18*$E$18)</f>
        <v>9.6623376623376639E-2</v>
      </c>
    </row>
    <row r="41" spans="1:10" s="56" customFormat="1" ht="45" x14ac:dyDescent="0.25">
      <c r="A41" s="43" t="s">
        <v>59</v>
      </c>
      <c r="B41" s="55">
        <f>B40/B39</f>
        <v>0.98905915569925762</v>
      </c>
      <c r="C41" s="55">
        <f>C40/C39</f>
        <v>0.91808084379235155</v>
      </c>
      <c r="D41" s="55">
        <f>D40/D39</f>
        <v>1.2305533279871694</v>
      </c>
    </row>
    <row r="43" spans="1:10" x14ac:dyDescent="0.25">
      <c r="A43" s="23"/>
      <c r="B43" s="47" t="s">
        <v>47</v>
      </c>
      <c r="C43" s="47" t="s">
        <v>19</v>
      </c>
      <c r="D43" s="47" t="s">
        <v>46</v>
      </c>
    </row>
    <row r="44" spans="1:10" x14ac:dyDescent="0.25">
      <c r="A44" s="23" t="s">
        <v>56</v>
      </c>
      <c r="B44" s="51">
        <f>B28+B32</f>
        <v>166.54399999999998</v>
      </c>
      <c r="C44" s="51">
        <f>B32</f>
        <v>130.19999999999999</v>
      </c>
      <c r="D44" s="51">
        <f>B28</f>
        <v>36.344000000000001</v>
      </c>
    </row>
    <row r="45" spans="1:10" x14ac:dyDescent="0.25">
      <c r="A45" s="23" t="s">
        <v>51</v>
      </c>
      <c r="B45" s="51">
        <f>C38+D38</f>
        <v>80710</v>
      </c>
      <c r="C45" s="51">
        <f>B4</f>
        <v>55300</v>
      </c>
      <c r="D45" s="51">
        <f>B11+B18</f>
        <v>25410</v>
      </c>
    </row>
    <row r="46" spans="1:10" x14ac:dyDescent="0.25">
      <c r="A46" s="23" t="s">
        <v>57</v>
      </c>
      <c r="B46" s="48">
        <f>B44/B45*1000</f>
        <v>2.0634865568083258</v>
      </c>
      <c r="C46" s="48">
        <f t="shared" ref="C46:D46" si="24">C44/C45*1000</f>
        <v>2.3544303797468356</v>
      </c>
      <c r="D46" s="44">
        <f t="shared" si="24"/>
        <v>1.4303030303030304</v>
      </c>
    </row>
    <row r="47" spans="1:10" x14ac:dyDescent="0.25">
      <c r="A47" s="23" t="s">
        <v>60</v>
      </c>
      <c r="B47" s="44">
        <f>C47*C45/$B$45+$D$47*D45/$B$45</f>
        <v>1.3457735415748331</v>
      </c>
      <c r="C47" s="44">
        <f>L8*1000</f>
        <v>1.3978874163587574</v>
      </c>
      <c r="D47" s="44">
        <f>($L$15*B11*E11/($B$11*$E$11+$B$18*$E$18)+$L$22*B18*E18/($B$11*$E$11+$B$18*$E$18))*1000</f>
        <v>1.2323576708329593</v>
      </c>
    </row>
    <row r="48" spans="1:10" ht="54.75" x14ac:dyDescent="0.25">
      <c r="A48" s="49" t="s">
        <v>58</v>
      </c>
      <c r="B48" s="50">
        <f>B47/B46</f>
        <v>0.65218430288995577</v>
      </c>
      <c r="C48" s="50">
        <f>C47/C46</f>
        <v>0.59372637576527865</v>
      </c>
      <c r="D48" s="50">
        <f>D47/D46</f>
        <v>0.86160599867558596</v>
      </c>
    </row>
  </sheetData>
  <mergeCells count="6">
    <mergeCell ref="E11:E14"/>
    <mergeCell ref="E18:E21"/>
    <mergeCell ref="B4:B7"/>
    <mergeCell ref="B11:B14"/>
    <mergeCell ref="B18:B21"/>
    <mergeCell ref="E4:E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A1F38-5568-9B45-8B0A-E6DEC6CECB1F}">
  <dimension ref="A1:L51"/>
  <sheetViews>
    <sheetView showGridLines="0" topLeftCell="B1" workbookViewId="0">
      <selection activeCell="J16" sqref="J16"/>
    </sheetView>
  </sheetViews>
  <sheetFormatPr defaultColWidth="11.42578125" defaultRowHeight="15" x14ac:dyDescent="0.25"/>
  <cols>
    <col min="1" max="1" width="48.28515625" customWidth="1"/>
    <col min="2" max="2" width="12.28515625" customWidth="1"/>
    <col min="3" max="3" width="29.7109375" customWidth="1"/>
    <col min="4" max="4" width="23.28515625" customWidth="1"/>
    <col min="5" max="5" width="18.5703125" bestFit="1" customWidth="1"/>
    <col min="6" max="6" width="14.85546875" customWidth="1"/>
    <col min="7" max="7" width="18.140625" bestFit="1" customWidth="1"/>
    <col min="8" max="8" width="23" customWidth="1"/>
    <col min="9" max="9" width="33.5703125" bestFit="1" customWidth="1"/>
    <col min="10" max="10" width="21.5703125" customWidth="1"/>
    <col min="11" max="11" width="23.5703125" customWidth="1"/>
    <col min="12" max="12" width="33.5703125" customWidth="1"/>
  </cols>
  <sheetData>
    <row r="1" spans="1:12" s="21" customFormat="1" ht="23.25" x14ac:dyDescent="0.35">
      <c r="A1" s="20" t="s">
        <v>70</v>
      </c>
    </row>
    <row r="2" spans="1:12" x14ac:dyDescent="0.25">
      <c r="J2" t="s">
        <v>54</v>
      </c>
    </row>
    <row r="3" spans="1:12" s="73" customFormat="1" ht="33" customHeight="1" x14ac:dyDescent="0.25">
      <c r="A3" s="70" t="s">
        <v>19</v>
      </c>
      <c r="B3" s="71" t="s">
        <v>42</v>
      </c>
      <c r="C3" s="72" t="s">
        <v>65</v>
      </c>
      <c r="D3" s="72" t="s">
        <v>66</v>
      </c>
      <c r="E3" s="72" t="s">
        <v>40</v>
      </c>
      <c r="F3" s="72" t="s">
        <v>39</v>
      </c>
      <c r="G3" s="72" t="s">
        <v>41</v>
      </c>
      <c r="H3" s="72" t="s">
        <v>74</v>
      </c>
      <c r="I3" s="72" t="s">
        <v>67</v>
      </c>
      <c r="J3" s="75" t="s">
        <v>53</v>
      </c>
      <c r="K3" s="75" t="s">
        <v>68</v>
      </c>
      <c r="L3" s="72" t="s">
        <v>69</v>
      </c>
    </row>
    <row r="4" spans="1:12" x14ac:dyDescent="0.25">
      <c r="A4" s="22" t="s">
        <v>20</v>
      </c>
      <c r="B4" s="58">
        <v>55300</v>
      </c>
      <c r="C4" s="41">
        <v>0</v>
      </c>
      <c r="D4" s="76">
        <f>IFERROR(C4/($B$4)/$E$4,0)</f>
        <v>0</v>
      </c>
      <c r="E4" s="62">
        <v>0</v>
      </c>
      <c r="F4" s="41">
        <f>D4*$B$4*$E$4</f>
        <v>0</v>
      </c>
      <c r="G4" s="68">
        <v>0.7</v>
      </c>
      <c r="H4" s="36">
        <f>F4*G4</f>
        <v>0</v>
      </c>
      <c r="I4" s="36">
        <f>D4*G4</f>
        <v>0</v>
      </c>
      <c r="J4" s="54">
        <f>288/23219</f>
        <v>1.2403634954132391E-2</v>
      </c>
      <c r="K4" s="37">
        <f>H4*J4</f>
        <v>0</v>
      </c>
      <c r="L4" s="36">
        <f>I4*J4</f>
        <v>0</v>
      </c>
    </row>
    <row r="5" spans="1:12" x14ac:dyDescent="0.25">
      <c r="A5" s="22" t="s">
        <v>21</v>
      </c>
      <c r="B5" s="59"/>
      <c r="C5" s="41">
        <v>0</v>
      </c>
      <c r="D5" s="76">
        <f t="shared" ref="D5:D8" si="0">IFERROR(C5/($B$4)/$E$4,0)</f>
        <v>0</v>
      </c>
      <c r="E5" s="63"/>
      <c r="F5" s="41">
        <f>D5*$B$4*$E$4</f>
        <v>0</v>
      </c>
      <c r="G5" s="68">
        <v>0.5</v>
      </c>
      <c r="H5" s="36">
        <f t="shared" ref="H5:H7" si="1">F5*G5</f>
        <v>0</v>
      </c>
      <c r="I5" s="36">
        <f>D5*G5</f>
        <v>0</v>
      </c>
      <c r="J5" s="54">
        <f t="shared" ref="J5:J9" si="2">288/23219</f>
        <v>1.2403634954132391E-2</v>
      </c>
      <c r="K5" s="37">
        <f t="shared" ref="K5:K7" si="3">H5*J5</f>
        <v>0</v>
      </c>
      <c r="L5" s="36">
        <f t="shared" ref="L5:L7" si="4">I5*J5</f>
        <v>0</v>
      </c>
    </row>
    <row r="6" spans="1:12" x14ac:dyDescent="0.25">
      <c r="A6" s="22" t="s">
        <v>61</v>
      </c>
      <c r="B6" s="59"/>
      <c r="C6" s="41">
        <v>0</v>
      </c>
      <c r="D6" s="76">
        <f t="shared" si="0"/>
        <v>0</v>
      </c>
      <c r="E6" s="63"/>
      <c r="F6" s="41">
        <f>D6*$B$4*$E$4</f>
        <v>0</v>
      </c>
      <c r="G6" s="68">
        <v>0.01</v>
      </c>
      <c r="H6" s="36">
        <f t="shared" si="1"/>
        <v>0</v>
      </c>
      <c r="I6" s="36">
        <f>D6*G6</f>
        <v>0</v>
      </c>
      <c r="J6" s="54">
        <f t="shared" si="2"/>
        <v>1.2403634954132391E-2</v>
      </c>
      <c r="K6" s="37">
        <f t="shared" si="3"/>
        <v>0</v>
      </c>
      <c r="L6" s="36">
        <f t="shared" si="4"/>
        <v>0</v>
      </c>
    </row>
    <row r="7" spans="1:12" x14ac:dyDescent="0.25">
      <c r="A7" s="22" t="s">
        <v>62</v>
      </c>
      <c r="B7" s="59"/>
      <c r="C7" s="41">
        <v>0</v>
      </c>
      <c r="D7" s="76">
        <f t="shared" si="0"/>
        <v>0</v>
      </c>
      <c r="E7" s="63"/>
      <c r="F7" s="41">
        <f>D7*$B$4*$E$4</f>
        <v>0</v>
      </c>
      <c r="G7" s="68">
        <v>0.01</v>
      </c>
      <c r="H7" s="36">
        <f t="shared" si="1"/>
        <v>0</v>
      </c>
      <c r="I7" s="36">
        <f>D7*G7</f>
        <v>0</v>
      </c>
      <c r="J7" s="54">
        <f t="shared" si="2"/>
        <v>1.2403634954132391E-2</v>
      </c>
      <c r="K7" s="37">
        <f t="shared" si="3"/>
        <v>0</v>
      </c>
      <c r="L7" s="36">
        <f t="shared" si="4"/>
        <v>0</v>
      </c>
    </row>
    <row r="8" spans="1:12" x14ac:dyDescent="0.25">
      <c r="A8" s="22" t="s">
        <v>64</v>
      </c>
      <c r="B8" s="60"/>
      <c r="C8" s="41">
        <v>0</v>
      </c>
      <c r="D8" s="76">
        <f t="shared" si="0"/>
        <v>0</v>
      </c>
      <c r="E8" s="64"/>
      <c r="F8" s="41">
        <f>D8*$B$4*$E$4</f>
        <v>0</v>
      </c>
      <c r="G8" s="68">
        <v>0.01</v>
      </c>
      <c r="H8" s="36">
        <f t="shared" ref="H8" si="5">F8*G8</f>
        <v>0</v>
      </c>
      <c r="I8" s="36">
        <f>D8*G8</f>
        <v>0</v>
      </c>
      <c r="J8" s="54">
        <f t="shared" si="2"/>
        <v>1.2403634954132391E-2</v>
      </c>
      <c r="K8" s="37">
        <f t="shared" ref="K8" si="6">H8*J8</f>
        <v>0</v>
      </c>
      <c r="L8" s="36">
        <f t="shared" ref="L8" si="7">I8*J8</f>
        <v>0</v>
      </c>
    </row>
    <row r="9" spans="1:12" x14ac:dyDescent="0.25">
      <c r="A9" s="22" t="s">
        <v>24</v>
      </c>
      <c r="B9" s="22"/>
      <c r="C9" s="23"/>
      <c r="D9" s="23"/>
      <c r="E9" s="23"/>
      <c r="F9" s="69">
        <f>SUM(F4:F8)</f>
        <v>0</v>
      </c>
      <c r="G9" s="22"/>
      <c r="H9" s="39">
        <f>SUM(H4:H8)</f>
        <v>0</v>
      </c>
      <c r="I9" s="46">
        <f>SUM(I4:I8)</f>
        <v>0</v>
      </c>
      <c r="J9" s="54">
        <f t="shared" si="2"/>
        <v>1.2403634954132391E-2</v>
      </c>
      <c r="K9" s="39">
        <f>SUM(K4:K8)</f>
        <v>0</v>
      </c>
      <c r="L9" s="46">
        <f>SUM(L4:L8)</f>
        <v>0</v>
      </c>
    </row>
    <row r="10" spans="1:12" ht="20.25" customHeight="1" x14ac:dyDescent="0.25">
      <c r="F10" s="42"/>
      <c r="H10" s="25"/>
      <c r="I10" s="45"/>
    </row>
    <row r="11" spans="1:12" s="73" customFormat="1" ht="30.75" customHeight="1" x14ac:dyDescent="0.25">
      <c r="A11" s="70" t="s">
        <v>22</v>
      </c>
      <c r="B11" s="71" t="s">
        <v>42</v>
      </c>
      <c r="C11" s="72" t="s">
        <v>65</v>
      </c>
      <c r="D11" s="72" t="s">
        <v>66</v>
      </c>
      <c r="E11" s="72" t="s">
        <v>40</v>
      </c>
      <c r="F11" s="74" t="s">
        <v>39</v>
      </c>
      <c r="G11" s="72" t="s">
        <v>41</v>
      </c>
      <c r="H11" s="72" t="s">
        <v>74</v>
      </c>
      <c r="I11" s="72" t="s">
        <v>67</v>
      </c>
      <c r="J11" s="75" t="s">
        <v>53</v>
      </c>
      <c r="K11" s="75" t="s">
        <v>68</v>
      </c>
      <c r="L11" s="72" t="s">
        <v>69</v>
      </c>
    </row>
    <row r="12" spans="1:12" x14ac:dyDescent="0.25">
      <c r="A12" s="22" t="s">
        <v>20</v>
      </c>
      <c r="B12" s="58">
        <f>18200+110</f>
        <v>18310</v>
      </c>
      <c r="C12" s="41">
        <v>818</v>
      </c>
      <c r="D12" s="36">
        <f>C12/($B$12)/$E$12</f>
        <v>4.4675040961223378E-2</v>
      </c>
      <c r="E12" s="65">
        <v>1</v>
      </c>
      <c r="F12" s="41">
        <f>D12*$B$12*$E$12</f>
        <v>818</v>
      </c>
      <c r="G12" s="68">
        <v>0.7</v>
      </c>
      <c r="H12" s="37">
        <f>F12*G12</f>
        <v>572.59999999999991</v>
      </c>
      <c r="I12" s="36">
        <f>D12*G12</f>
        <v>3.1272528672856362E-2</v>
      </c>
      <c r="J12" s="54">
        <f>264/20699</f>
        <v>1.2754239335233586E-2</v>
      </c>
      <c r="K12" s="37">
        <f>H12*J12</f>
        <v>7.3030774433547503</v>
      </c>
      <c r="L12" s="36">
        <f>I12*J12</f>
        <v>3.988573153115648E-4</v>
      </c>
    </row>
    <row r="13" spans="1:12" x14ac:dyDescent="0.25">
      <c r="A13" s="22" t="s">
        <v>21</v>
      </c>
      <c r="B13" s="59"/>
      <c r="C13" s="41">
        <v>5913</v>
      </c>
      <c r="D13" s="36">
        <f t="shared" ref="D13:D16" si="8">C13/($B$12)/$E$12</f>
        <v>0.32293828509011469</v>
      </c>
      <c r="E13" s="66"/>
      <c r="F13" s="41">
        <f>D13*$B$12*$E$12</f>
        <v>5913</v>
      </c>
      <c r="G13" s="68">
        <v>0.5</v>
      </c>
      <c r="H13" s="37">
        <f t="shared" ref="H13:H14" si="9">F13*G13</f>
        <v>2956.5</v>
      </c>
      <c r="I13" s="36">
        <f>D13*G13</f>
        <v>0.16146914254505734</v>
      </c>
      <c r="J13" s="54">
        <f t="shared" ref="J13:J17" si="10">264/20699</f>
        <v>1.2754239335233586E-2</v>
      </c>
      <c r="K13" s="37">
        <f t="shared" ref="K13:K14" si="11">H13*J13</f>
        <v>37.707908594618097</v>
      </c>
      <c r="L13" s="36">
        <f t="shared" ref="L13:L14" si="12">I13*J13</f>
        <v>2.0594160892746095E-3</v>
      </c>
    </row>
    <row r="14" spans="1:12" x14ac:dyDescent="0.25">
      <c r="A14" s="22" t="s">
        <v>61</v>
      </c>
      <c r="B14" s="59"/>
      <c r="C14" s="41">
        <v>117222</v>
      </c>
      <c r="D14" s="36">
        <f t="shared" si="8"/>
        <v>6.4020753686510101</v>
      </c>
      <c r="E14" s="66"/>
      <c r="F14" s="41">
        <f>D14*$B$12*$E$12</f>
        <v>117222</v>
      </c>
      <c r="G14" s="68">
        <v>0.01</v>
      </c>
      <c r="H14" s="37">
        <f t="shared" si="9"/>
        <v>1172.22</v>
      </c>
      <c r="I14" s="36">
        <f>D14*G14</f>
        <v>6.4020753686510098E-2</v>
      </c>
      <c r="J14" s="54">
        <f t="shared" si="10"/>
        <v>1.2754239335233586E-2</v>
      </c>
      <c r="K14" s="37">
        <f t="shared" si="11"/>
        <v>14.950774433547515</v>
      </c>
      <c r="L14" s="36">
        <f t="shared" si="12"/>
        <v>8.1653601493978777E-4</v>
      </c>
    </row>
    <row r="15" spans="1:12" x14ac:dyDescent="0.25">
      <c r="A15" s="22" t="s">
        <v>62</v>
      </c>
      <c r="B15" s="59"/>
      <c r="C15" s="41">
        <v>4017</v>
      </c>
      <c r="D15" s="36">
        <f t="shared" si="8"/>
        <v>0.21938831239759693</v>
      </c>
      <c r="E15" s="66"/>
      <c r="F15" s="41">
        <f>D15*$B$12*$E$12</f>
        <v>4017</v>
      </c>
      <c r="G15" s="68">
        <v>0.01</v>
      </c>
      <c r="H15" s="37">
        <f t="shared" ref="H15:H16" si="13">F15*G15</f>
        <v>40.17</v>
      </c>
      <c r="I15" s="36">
        <f>D15*G15</f>
        <v>2.1938831239759695E-3</v>
      </c>
      <c r="J15" s="54">
        <f t="shared" si="10"/>
        <v>1.2754239335233586E-2</v>
      </c>
      <c r="K15" s="37">
        <f t="shared" ref="K15:K16" si="14">H15*J15</f>
        <v>0.51233779409633318</v>
      </c>
      <c r="L15" s="36">
        <f t="shared" ref="L15:L16" si="15">I15*J15</f>
        <v>2.7981310436719451E-5</v>
      </c>
    </row>
    <row r="16" spans="1:12" x14ac:dyDescent="0.25">
      <c r="A16" s="22" t="s">
        <v>64</v>
      </c>
      <c r="B16" s="60"/>
      <c r="C16" s="41">
        <v>853</v>
      </c>
      <c r="D16" s="36">
        <f t="shared" si="8"/>
        <v>4.6586564718732931E-2</v>
      </c>
      <c r="E16" s="67"/>
      <c r="F16" s="41">
        <f>D16*$B$12*$E$12</f>
        <v>853</v>
      </c>
      <c r="G16" s="68">
        <v>0.01</v>
      </c>
      <c r="H16" s="37">
        <f t="shared" si="13"/>
        <v>8.5299999999999994</v>
      </c>
      <c r="I16" s="36">
        <f>D16*G16</f>
        <v>4.6586564718732932E-4</v>
      </c>
      <c r="J16" s="54">
        <f t="shared" si="10"/>
        <v>1.2754239335233586E-2</v>
      </c>
      <c r="K16" s="37">
        <f t="shared" si="14"/>
        <v>0.10879366152954248</v>
      </c>
      <c r="L16" s="36">
        <f t="shared" si="15"/>
        <v>5.9417619622906876E-6</v>
      </c>
    </row>
    <row r="17" spans="1:12" x14ac:dyDescent="0.25">
      <c r="A17" s="22" t="s">
        <v>24</v>
      </c>
      <c r="B17" s="22"/>
      <c r="C17" s="23"/>
      <c r="D17" s="23"/>
      <c r="E17" s="23"/>
      <c r="F17" s="69">
        <f>SUM(F12:F16)</f>
        <v>128823</v>
      </c>
      <c r="G17" s="22"/>
      <c r="H17" s="39">
        <f>SUM(H12:H16)</f>
        <v>4750.0199999999995</v>
      </c>
      <c r="I17" s="46">
        <f>SUM(I12:I16)</f>
        <v>0.25942217367558706</v>
      </c>
      <c r="J17" s="54">
        <f t="shared" si="10"/>
        <v>1.2754239335233586E-2</v>
      </c>
      <c r="K17" s="39">
        <f>SUM(K12:K16)</f>
        <v>60.582891927146235</v>
      </c>
      <c r="L17" s="46">
        <f>SUM(L12:L16)</f>
        <v>3.3087324919249725E-3</v>
      </c>
    </row>
    <row r="18" spans="1:12" ht="36.75" customHeight="1" x14ac:dyDescent="0.25">
      <c r="F18" s="42"/>
      <c r="H18" s="25"/>
      <c r="I18" s="45"/>
    </row>
    <row r="19" spans="1:12" s="73" customFormat="1" ht="36.75" customHeight="1" x14ac:dyDescent="0.25">
      <c r="A19" s="70" t="s">
        <v>23</v>
      </c>
      <c r="B19" s="71" t="s">
        <v>42</v>
      </c>
      <c r="C19" s="72" t="s">
        <v>65</v>
      </c>
      <c r="D19" s="72" t="s">
        <v>66</v>
      </c>
      <c r="E19" s="72" t="s">
        <v>40</v>
      </c>
      <c r="F19" s="74" t="s">
        <v>39</v>
      </c>
      <c r="G19" s="72" t="s">
        <v>41</v>
      </c>
      <c r="H19" s="72" t="s">
        <v>74</v>
      </c>
      <c r="I19" s="72" t="s">
        <v>67</v>
      </c>
      <c r="J19" s="75" t="s">
        <v>53</v>
      </c>
      <c r="K19" s="75" t="s">
        <v>68</v>
      </c>
      <c r="L19" s="72" t="s">
        <v>69</v>
      </c>
    </row>
    <row r="20" spans="1:12" x14ac:dyDescent="0.25">
      <c r="A20" s="22" t="s">
        <v>20</v>
      </c>
      <c r="B20" s="58">
        <v>7100</v>
      </c>
      <c r="C20" s="41">
        <v>778</v>
      </c>
      <c r="D20" s="36">
        <f>C20/$B$20/$E$20</f>
        <v>0.1095774647887324</v>
      </c>
      <c r="E20" s="65">
        <v>1</v>
      </c>
      <c r="F20" s="41">
        <f>D20*$E$20*$B$20</f>
        <v>778</v>
      </c>
      <c r="G20" s="68">
        <v>0.7</v>
      </c>
      <c r="H20" s="37">
        <f>F20*G20</f>
        <v>544.59999999999991</v>
      </c>
      <c r="I20" s="36">
        <f>D20*G20</f>
        <v>7.6704225352112673E-2</v>
      </c>
      <c r="J20" s="54">
        <f>264/20699</f>
        <v>1.2754239335233586E-2</v>
      </c>
      <c r="K20" s="37">
        <f>H20*J20</f>
        <v>6.9459587419682096</v>
      </c>
      <c r="L20" s="36">
        <f>I20*J20</f>
        <v>9.7830404816453675E-4</v>
      </c>
    </row>
    <row r="21" spans="1:12" x14ac:dyDescent="0.25">
      <c r="A21" s="22" t="s">
        <v>21</v>
      </c>
      <c r="B21" s="59"/>
      <c r="C21" s="41">
        <v>2560</v>
      </c>
      <c r="D21" s="36">
        <f t="shared" ref="D21:D24" si="16">C21/$B$20/$E$20</f>
        <v>0.36056338028169016</v>
      </c>
      <c r="E21" s="66"/>
      <c r="F21" s="41">
        <f>D21*$E$20*$B$20</f>
        <v>2560</v>
      </c>
      <c r="G21" s="68">
        <v>0.5</v>
      </c>
      <c r="H21" s="37">
        <f t="shared" ref="H21:H23" si="17">F21*G21</f>
        <v>1280</v>
      </c>
      <c r="I21" s="36">
        <f>D21*G21</f>
        <v>0.18028169014084508</v>
      </c>
      <c r="J21" s="54">
        <f t="shared" ref="J21:J25" si="18">264/20699</f>
        <v>1.2754239335233586E-2</v>
      </c>
      <c r="K21" s="37">
        <f t="shared" ref="K21:K23" si="19">H21*J21</f>
        <v>16.32542634909899</v>
      </c>
      <c r="L21" s="36">
        <f t="shared" ref="L21:L23" si="20">I21*J21</f>
        <v>2.2993558238167595E-3</v>
      </c>
    </row>
    <row r="22" spans="1:12" x14ac:dyDescent="0.25">
      <c r="A22" s="22" t="s">
        <v>61</v>
      </c>
      <c r="B22" s="59"/>
      <c r="C22" s="41">
        <v>45108</v>
      </c>
      <c r="D22" s="36">
        <f t="shared" si="16"/>
        <v>6.3532394366197185</v>
      </c>
      <c r="E22" s="66"/>
      <c r="F22" s="41">
        <f>D22*$E$20*$B$20</f>
        <v>45108</v>
      </c>
      <c r="G22" s="68">
        <v>0.01</v>
      </c>
      <c r="H22" s="37">
        <f t="shared" si="17"/>
        <v>451.08</v>
      </c>
      <c r="I22" s="36">
        <f>D22*G22</f>
        <v>6.353239436619719E-2</v>
      </c>
      <c r="J22" s="54">
        <f t="shared" si="18"/>
        <v>1.2754239335233586E-2</v>
      </c>
      <c r="K22" s="37">
        <f t="shared" si="19"/>
        <v>5.7531822793371656</v>
      </c>
      <c r="L22" s="36">
        <f t="shared" si="20"/>
        <v>8.1030736328692487E-4</v>
      </c>
    </row>
    <row r="23" spans="1:12" x14ac:dyDescent="0.25">
      <c r="A23" s="22" t="s">
        <v>62</v>
      </c>
      <c r="B23" s="59"/>
      <c r="C23" s="41">
        <v>1325</v>
      </c>
      <c r="D23" s="36">
        <f t="shared" si="16"/>
        <v>0.18661971830985916</v>
      </c>
      <c r="E23" s="66"/>
      <c r="F23" s="41">
        <f>D23*$E$20*$B$20</f>
        <v>1325</v>
      </c>
      <c r="G23" s="68">
        <v>0.01</v>
      </c>
      <c r="H23" s="37">
        <f t="shared" si="17"/>
        <v>13.25</v>
      </c>
      <c r="I23" s="36">
        <f>D23*G23</f>
        <v>1.8661971830985916E-3</v>
      </c>
      <c r="J23" s="54">
        <f t="shared" si="18"/>
        <v>1.2754239335233586E-2</v>
      </c>
      <c r="K23" s="37">
        <f t="shared" si="19"/>
        <v>0.16899367119184502</v>
      </c>
      <c r="L23" s="36">
        <f t="shared" si="20"/>
        <v>2.3801925519978173E-5</v>
      </c>
    </row>
    <row r="24" spans="1:12" x14ac:dyDescent="0.25">
      <c r="A24" s="22" t="s">
        <v>64</v>
      </c>
      <c r="B24" s="60"/>
      <c r="C24" s="41">
        <v>9507</v>
      </c>
      <c r="D24" s="36">
        <f t="shared" si="16"/>
        <v>1.3390140845070422</v>
      </c>
      <c r="E24" s="67"/>
      <c r="F24" s="41">
        <f>D24*$E$20*$B$20</f>
        <v>9507</v>
      </c>
      <c r="G24" s="68">
        <v>0.01</v>
      </c>
      <c r="H24" s="37">
        <f t="shared" ref="H24" si="21">F24*G24</f>
        <v>95.070000000000007</v>
      </c>
      <c r="I24" s="36">
        <f>D24*G24</f>
        <v>1.3390140845070422E-2</v>
      </c>
      <c r="J24" s="54">
        <f t="shared" si="18"/>
        <v>1.2754239335233586E-2</v>
      </c>
      <c r="K24" s="37">
        <f t="shared" ref="K24" si="22">H24*J24</f>
        <v>1.2125455336006572</v>
      </c>
      <c r="L24" s="36">
        <f t="shared" ref="L24" si="23">I24*J24</f>
        <v>1.7078106107051508E-4</v>
      </c>
    </row>
    <row r="25" spans="1:12" x14ac:dyDescent="0.25">
      <c r="A25" s="22" t="s">
        <v>24</v>
      </c>
      <c r="B25" s="22"/>
      <c r="C25" s="23"/>
      <c r="D25" s="23"/>
      <c r="E25" s="23"/>
      <c r="F25" s="69">
        <f>SUM(F20:F24)</f>
        <v>59278</v>
      </c>
      <c r="G25" s="22"/>
      <c r="H25" s="39">
        <f>SUM(H20:H24)</f>
        <v>2384</v>
      </c>
      <c r="I25" s="46">
        <f>SUM(I20:I24)</f>
        <v>0.33577464788732392</v>
      </c>
      <c r="J25" s="54">
        <f t="shared" si="18"/>
        <v>1.2754239335233586E-2</v>
      </c>
      <c r="K25" s="39">
        <f>SUM(K20:K24)</f>
        <v>30.406106575196866</v>
      </c>
      <c r="L25" s="46">
        <f>SUM(L20:L24)</f>
        <v>4.2825502218587141E-3</v>
      </c>
    </row>
    <row r="27" spans="1:12" x14ac:dyDescent="0.25">
      <c r="A27" t="s">
        <v>43</v>
      </c>
      <c r="B27" s="25">
        <f>43918/5</f>
        <v>8783.6</v>
      </c>
      <c r="F27" s="25"/>
      <c r="H27" s="25"/>
      <c r="J27" s="25"/>
    </row>
    <row r="28" spans="1:12" x14ac:dyDescent="0.25">
      <c r="A28" t="s">
        <v>80</v>
      </c>
      <c r="B28" s="40">
        <f>H9+H17+H25</f>
        <v>7134.0199999999995</v>
      </c>
      <c r="F28" s="40"/>
      <c r="H28" s="40"/>
      <c r="J28" s="40"/>
    </row>
    <row r="29" spans="1:12" ht="18.75" x14ac:dyDescent="0.3">
      <c r="A29" s="52" t="s">
        <v>48</v>
      </c>
      <c r="B29" s="53">
        <f>B28/B27</f>
        <v>0.81219773213716462</v>
      </c>
      <c r="E29" s="52"/>
      <c r="F29" s="53"/>
      <c r="I29" s="52"/>
      <c r="J29" s="53"/>
    </row>
    <row r="30" spans="1:12" ht="18.75" x14ac:dyDescent="0.3">
      <c r="A30" s="52"/>
      <c r="B30" s="53"/>
      <c r="E30" s="52"/>
      <c r="F30" s="53"/>
      <c r="I30" s="52"/>
      <c r="J30" s="53"/>
    </row>
    <row r="31" spans="1:12" x14ac:dyDescent="0.25">
      <c r="A31" t="s">
        <v>55</v>
      </c>
      <c r="B31" s="25">
        <f>181.72/5</f>
        <v>36.344000000000001</v>
      </c>
      <c r="F31" s="25"/>
      <c r="H31" s="25"/>
      <c r="J31" s="25"/>
    </row>
    <row r="32" spans="1:12" x14ac:dyDescent="0.25">
      <c r="A32" t="s">
        <v>76</v>
      </c>
      <c r="B32" s="40">
        <f>K17+K25</f>
        <v>90.988998502343094</v>
      </c>
      <c r="F32" s="40"/>
      <c r="H32" s="40"/>
      <c r="J32" s="40"/>
    </row>
    <row r="33" spans="1:10" ht="18.75" x14ac:dyDescent="0.3">
      <c r="A33" s="52" t="s">
        <v>48</v>
      </c>
      <c r="B33" s="53">
        <f>B32/B31</f>
        <v>2.5035493754771925</v>
      </c>
      <c r="E33" s="52"/>
      <c r="F33" s="53"/>
      <c r="I33" s="52"/>
      <c r="J33" s="53"/>
    </row>
    <row r="34" spans="1:10" ht="18.75" x14ac:dyDescent="0.3">
      <c r="A34" s="52"/>
      <c r="B34" s="53"/>
      <c r="E34" s="52"/>
      <c r="F34" s="53"/>
      <c r="I34" s="52"/>
      <c r="J34" s="53"/>
    </row>
    <row r="35" spans="1:10" x14ac:dyDescent="0.25">
      <c r="A35" t="s">
        <v>75</v>
      </c>
      <c r="B35" s="25">
        <f>651/5</f>
        <v>130.19999999999999</v>
      </c>
      <c r="F35" s="25"/>
      <c r="H35" s="25"/>
      <c r="J35" s="25"/>
    </row>
    <row r="36" spans="1:10" x14ac:dyDescent="0.25">
      <c r="A36" t="s">
        <v>81</v>
      </c>
      <c r="B36" s="40">
        <f>K9</f>
        <v>0</v>
      </c>
      <c r="F36" s="40"/>
      <c r="H36" s="40"/>
      <c r="J36" s="40"/>
    </row>
    <row r="37" spans="1:10" ht="18.75" x14ac:dyDescent="0.3">
      <c r="A37" s="52" t="s">
        <v>48</v>
      </c>
      <c r="B37" s="53">
        <f>B36/B35</f>
        <v>0</v>
      </c>
      <c r="E37" s="52"/>
      <c r="F37" s="53"/>
      <c r="I37" s="52"/>
      <c r="J37" s="53"/>
    </row>
    <row r="38" spans="1:10" ht="18.75" x14ac:dyDescent="0.3">
      <c r="A38" s="52"/>
      <c r="B38" s="53"/>
      <c r="E38" s="52"/>
      <c r="F38" s="53"/>
      <c r="I38" s="52"/>
      <c r="J38" s="53"/>
    </row>
    <row r="39" spans="1:10" x14ac:dyDescent="0.25">
      <c r="A39" s="23"/>
      <c r="B39" s="47" t="s">
        <v>47</v>
      </c>
      <c r="C39" s="47" t="s">
        <v>19</v>
      </c>
      <c r="D39" s="47" t="s">
        <v>46</v>
      </c>
    </row>
    <row r="40" spans="1:10" x14ac:dyDescent="0.25">
      <c r="A40" s="23" t="s">
        <v>49</v>
      </c>
      <c r="B40" s="51">
        <f>B27</f>
        <v>8783.6</v>
      </c>
      <c r="C40" s="51">
        <f>B40-D40</f>
        <v>6788.4000000000005</v>
      </c>
      <c r="D40" s="51">
        <f>9976/5</f>
        <v>1995.2</v>
      </c>
    </row>
    <row r="41" spans="1:10" x14ac:dyDescent="0.25">
      <c r="A41" s="23" t="s">
        <v>51</v>
      </c>
      <c r="B41" s="51">
        <f>C41+D41</f>
        <v>80710</v>
      </c>
      <c r="C41" s="51">
        <f>B4</f>
        <v>55300</v>
      </c>
      <c r="D41" s="51">
        <f>B12+B20</f>
        <v>25410</v>
      </c>
    </row>
    <row r="42" spans="1:10" x14ac:dyDescent="0.25">
      <c r="A42" s="23" t="s">
        <v>44</v>
      </c>
      <c r="B42" s="48">
        <f>B40/B41</f>
        <v>0.10882914137033825</v>
      </c>
      <c r="C42" s="48">
        <f>C40/C41</f>
        <v>0.12275587703435806</v>
      </c>
      <c r="D42" s="44">
        <f>D40/D41</f>
        <v>7.8520267611176697E-2</v>
      </c>
    </row>
    <row r="43" spans="1:10" x14ac:dyDescent="0.25">
      <c r="A43" s="23" t="s">
        <v>45</v>
      </c>
      <c r="B43" s="44">
        <f>C43*C41/$B$41+$D$43*D41/$B$41</f>
        <v>8.839078181142361E-2</v>
      </c>
      <c r="C43" s="44">
        <f>I9</f>
        <v>0</v>
      </c>
      <c r="D43" s="44">
        <f>$I$17*B12*E12/($B$12*$E$12+$B$20*$E$20)+$I$25*B20*E20/($B$12*$E$12+$B$20*$E$20)</f>
        <v>0.28075639512003148</v>
      </c>
    </row>
    <row r="44" spans="1:10" s="56" customFormat="1" ht="45" x14ac:dyDescent="0.25">
      <c r="A44" s="43" t="s">
        <v>59</v>
      </c>
      <c r="B44" s="55">
        <f>B43/B42</f>
        <v>0.81219773213716462</v>
      </c>
      <c r="C44" s="55">
        <f>C43/C42</f>
        <v>0</v>
      </c>
      <c r="D44" s="55">
        <f>D43/D42</f>
        <v>3.5755914194065759</v>
      </c>
    </row>
    <row r="46" spans="1:10" x14ac:dyDescent="0.25">
      <c r="A46" s="23"/>
      <c r="B46" s="47" t="s">
        <v>47</v>
      </c>
      <c r="C46" s="47" t="s">
        <v>19</v>
      </c>
      <c r="D46" s="47" t="s">
        <v>46</v>
      </c>
    </row>
    <row r="47" spans="1:10" x14ac:dyDescent="0.25">
      <c r="A47" s="23" t="s">
        <v>56</v>
      </c>
      <c r="B47" s="51">
        <f>B31+B35</f>
        <v>166.54399999999998</v>
      </c>
      <c r="C47" s="51">
        <f>B35</f>
        <v>130.19999999999999</v>
      </c>
      <c r="D47" s="51">
        <f>B31</f>
        <v>36.344000000000001</v>
      </c>
    </row>
    <row r="48" spans="1:10" x14ac:dyDescent="0.25">
      <c r="A48" s="23" t="s">
        <v>51</v>
      </c>
      <c r="B48" s="51">
        <f>C41+D41</f>
        <v>80710</v>
      </c>
      <c r="C48" s="51">
        <f>B4</f>
        <v>55300</v>
      </c>
      <c r="D48" s="51">
        <f>B12+B20</f>
        <v>25410</v>
      </c>
    </row>
    <row r="49" spans="1:4" x14ac:dyDescent="0.25">
      <c r="A49" s="23" t="s">
        <v>57</v>
      </c>
      <c r="B49" s="48">
        <f>B47/B48*1000</f>
        <v>2.0634865568083258</v>
      </c>
      <c r="C49" s="48">
        <f t="shared" ref="C49:D49" si="24">C47/C48*1000</f>
        <v>2.3544303797468356</v>
      </c>
      <c r="D49" s="44">
        <f t="shared" si="24"/>
        <v>1.4303030303030304</v>
      </c>
    </row>
    <row r="50" spans="1:4" x14ac:dyDescent="0.25">
      <c r="A50" s="23" t="s">
        <v>60</v>
      </c>
      <c r="B50" s="44">
        <f>C50*C48/$B$48+$D$50*D48/$B$48</f>
        <v>1.1273571862513088</v>
      </c>
      <c r="C50" s="44">
        <f>L9*1000</f>
        <v>0</v>
      </c>
      <c r="D50" s="44">
        <f>($L$17*B12*E12/($B$12*$E$12+$B$20*$E$20)+$L$25*B20*E20/($B$12*$E$12+$B$20*$E$20))*1000</f>
        <v>3.5808342582582888</v>
      </c>
    </row>
    <row r="51" spans="1:4" ht="54.75" x14ac:dyDescent="0.25">
      <c r="A51" s="49" t="s">
        <v>58</v>
      </c>
      <c r="B51" s="50">
        <f>B50/B49</f>
        <v>0.54633609437952213</v>
      </c>
      <c r="C51" s="50">
        <f>C50/C49</f>
        <v>0</v>
      </c>
      <c r="D51" s="50">
        <f>D50/D49</f>
        <v>2.5035493754771934</v>
      </c>
    </row>
  </sheetData>
  <mergeCells count="6">
    <mergeCell ref="B4:B8"/>
    <mergeCell ref="B20:B24"/>
    <mergeCell ref="E20:E24"/>
    <mergeCell ref="E4:E8"/>
    <mergeCell ref="B12:B16"/>
    <mergeCell ref="E12:E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8D47A-2C78-4B98-8197-71D63B0C374B}">
  <dimension ref="A1:L37"/>
  <sheetViews>
    <sheetView showGridLines="0" tabSelected="1" topLeftCell="A10" workbookViewId="0">
      <selection activeCell="B25" activeCellId="1" sqref="B29 B25"/>
    </sheetView>
  </sheetViews>
  <sheetFormatPr defaultColWidth="11.42578125" defaultRowHeight="15" x14ac:dyDescent="0.25"/>
  <cols>
    <col min="1" max="1" width="48.28515625" customWidth="1"/>
    <col min="2" max="2" width="12.28515625" customWidth="1"/>
    <col min="3" max="3" width="29.7109375" customWidth="1"/>
    <col min="4" max="4" width="23.28515625" customWidth="1"/>
    <col min="5" max="5" width="18.5703125" bestFit="1" customWidth="1"/>
    <col min="6" max="6" width="14.85546875" customWidth="1"/>
    <col min="7" max="7" width="18.140625" bestFit="1" customWidth="1"/>
    <col min="8" max="8" width="23" customWidth="1"/>
    <col min="9" max="9" width="33.5703125" bestFit="1" customWidth="1"/>
    <col min="10" max="10" width="21.5703125" customWidth="1"/>
    <col min="11" max="11" width="23.5703125" customWidth="1"/>
    <col min="12" max="12" width="33.5703125" customWidth="1"/>
  </cols>
  <sheetData>
    <row r="1" spans="1:12" s="21" customFormat="1" ht="23.25" x14ac:dyDescent="0.35">
      <c r="A1" s="20" t="s">
        <v>71</v>
      </c>
    </row>
    <row r="2" spans="1:12" x14ac:dyDescent="0.25">
      <c r="J2" t="s">
        <v>54</v>
      </c>
    </row>
    <row r="3" spans="1:12" s="73" customFormat="1" ht="33" customHeight="1" x14ac:dyDescent="0.25">
      <c r="A3" s="70" t="s">
        <v>19</v>
      </c>
      <c r="B3" s="71" t="s">
        <v>63</v>
      </c>
      <c r="C3" s="72" t="s">
        <v>72</v>
      </c>
      <c r="D3" s="72" t="s">
        <v>73</v>
      </c>
      <c r="E3" s="72" t="s">
        <v>40</v>
      </c>
      <c r="F3" s="72" t="s">
        <v>39</v>
      </c>
      <c r="G3" s="72" t="s">
        <v>41</v>
      </c>
      <c r="H3" s="72" t="s">
        <v>74</v>
      </c>
      <c r="I3" s="72" t="s">
        <v>67</v>
      </c>
      <c r="J3" s="75" t="s">
        <v>53</v>
      </c>
      <c r="K3" s="75" t="s">
        <v>68</v>
      </c>
      <c r="L3" s="72" t="s">
        <v>69</v>
      </c>
    </row>
    <row r="4" spans="1:12" x14ac:dyDescent="0.25">
      <c r="A4" s="22" t="s">
        <v>20</v>
      </c>
      <c r="B4" s="58">
        <v>12600</v>
      </c>
      <c r="C4" s="38">
        <v>14</v>
      </c>
      <c r="D4" s="36">
        <f>C4/($B$4)/$E$4</f>
        <v>5.5555555555555549E-3</v>
      </c>
      <c r="E4" s="62">
        <v>0.2</v>
      </c>
      <c r="F4" s="41">
        <f>D4*$B$4*$E$4</f>
        <v>13.999999999999998</v>
      </c>
      <c r="G4" s="68">
        <v>0.7</v>
      </c>
      <c r="H4" s="37">
        <f>F4*G4</f>
        <v>9.7999999999999989</v>
      </c>
      <c r="I4" s="36">
        <f>D4*G4</f>
        <v>3.8888888888888883E-3</v>
      </c>
      <c r="J4" s="54">
        <f>19/770</f>
        <v>2.4675324675324677E-2</v>
      </c>
      <c r="K4" s="37">
        <f>H4*J4</f>
        <v>0.24181818181818179</v>
      </c>
      <c r="L4" s="36">
        <f>I4*J4</f>
        <v>9.5959595959595957E-5</v>
      </c>
    </row>
    <row r="5" spans="1:12" x14ac:dyDescent="0.25">
      <c r="A5" s="22" t="s">
        <v>21</v>
      </c>
      <c r="B5" s="59"/>
      <c r="C5" s="38">
        <v>148</v>
      </c>
      <c r="D5" s="36">
        <f t="shared" ref="D5:D7" si="0">C5/($B$4)/$E$4</f>
        <v>5.8730158730158723E-2</v>
      </c>
      <c r="E5" s="63"/>
      <c r="F5" s="41">
        <f>D5*$B$4*$E$4</f>
        <v>147.99999999999997</v>
      </c>
      <c r="G5" s="68">
        <v>0.5</v>
      </c>
      <c r="H5" s="37">
        <f t="shared" ref="H5:H7" si="1">F5*G5</f>
        <v>73.999999999999986</v>
      </c>
      <c r="I5" s="36">
        <f>D5*G5</f>
        <v>2.9365079365079361E-2</v>
      </c>
      <c r="J5" s="54">
        <f t="shared" ref="J5:J8" si="2">19/770</f>
        <v>2.4675324675324677E-2</v>
      </c>
      <c r="K5" s="37">
        <f t="shared" ref="K5:K7" si="3">H5*J5</f>
        <v>1.8259740259740258</v>
      </c>
      <c r="L5" s="36">
        <f t="shared" ref="L5:L7" si="4">I5*J5</f>
        <v>7.2459286745001029E-4</v>
      </c>
    </row>
    <row r="6" spans="1:12" x14ac:dyDescent="0.25">
      <c r="A6" s="22" t="s">
        <v>61</v>
      </c>
      <c r="B6" s="59"/>
      <c r="C6" s="38">
        <v>3691</v>
      </c>
      <c r="D6" s="36">
        <f t="shared" si="0"/>
        <v>1.4646825396825396</v>
      </c>
      <c r="E6" s="63"/>
      <c r="F6" s="41">
        <f>D6*$B$4*$E$4</f>
        <v>3691</v>
      </c>
      <c r="G6" s="68">
        <v>0.01</v>
      </c>
      <c r="H6" s="37">
        <f t="shared" si="1"/>
        <v>36.910000000000004</v>
      </c>
      <c r="I6" s="36">
        <f>D6*G6</f>
        <v>1.4646825396825396E-2</v>
      </c>
      <c r="J6" s="54">
        <f t="shared" si="2"/>
        <v>2.4675324675324677E-2</v>
      </c>
      <c r="K6" s="37">
        <f t="shared" si="3"/>
        <v>0.91076623376623389</v>
      </c>
      <c r="L6" s="36">
        <f t="shared" si="4"/>
        <v>3.6141517212945784E-4</v>
      </c>
    </row>
    <row r="7" spans="1:12" x14ac:dyDescent="0.25">
      <c r="A7" s="22" t="s">
        <v>62</v>
      </c>
      <c r="B7" s="60"/>
      <c r="C7" s="38">
        <v>435</v>
      </c>
      <c r="D7" s="36">
        <f t="shared" si="0"/>
        <v>0.17261904761904762</v>
      </c>
      <c r="E7" s="64"/>
      <c r="F7" s="41">
        <f>D7*$B$4*$E$4</f>
        <v>435</v>
      </c>
      <c r="G7" s="68">
        <v>0.01</v>
      </c>
      <c r="H7" s="37">
        <f t="shared" si="1"/>
        <v>4.3500000000000005</v>
      </c>
      <c r="I7" s="36">
        <f>D7*G7</f>
        <v>1.7261904761904762E-3</v>
      </c>
      <c r="J7" s="54">
        <f t="shared" si="2"/>
        <v>2.4675324675324677E-2</v>
      </c>
      <c r="K7" s="37">
        <f t="shared" si="3"/>
        <v>0.10733766233766236</v>
      </c>
      <c r="L7" s="36">
        <f t="shared" si="4"/>
        <v>4.2594310451453315E-5</v>
      </c>
    </row>
    <row r="8" spans="1:12" x14ac:dyDescent="0.25">
      <c r="A8" s="22" t="s">
        <v>24</v>
      </c>
      <c r="B8" s="22"/>
      <c r="C8" s="23"/>
      <c r="D8" s="23"/>
      <c r="E8" s="23"/>
      <c r="F8" s="41">
        <f>SUM(F4:F6)</f>
        <v>3853</v>
      </c>
      <c r="G8" s="22"/>
      <c r="H8" s="39">
        <f>SUM(H4:H6)</f>
        <v>120.70999999999998</v>
      </c>
      <c r="I8" s="46">
        <f>SUM(I4:I6)</f>
        <v>4.7900793650793645E-2</v>
      </c>
      <c r="J8" s="54">
        <f t="shared" si="2"/>
        <v>2.4675324675324677E-2</v>
      </c>
      <c r="K8" s="39">
        <f>SUM(K4:K6)</f>
        <v>2.9785584415584418</v>
      </c>
      <c r="L8" s="46">
        <f>SUM(L4:L6)</f>
        <v>1.181967635539064E-3</v>
      </c>
    </row>
    <row r="9" spans="1:12" ht="20.25" customHeight="1" x14ac:dyDescent="0.25">
      <c r="F9" s="42"/>
      <c r="H9" s="25"/>
      <c r="I9" s="45"/>
    </row>
    <row r="10" spans="1:12" s="73" customFormat="1" ht="33" customHeight="1" x14ac:dyDescent="0.25">
      <c r="A10" s="70" t="s">
        <v>22</v>
      </c>
      <c r="B10" s="71" t="s">
        <v>63</v>
      </c>
      <c r="C10" s="72" t="s">
        <v>72</v>
      </c>
      <c r="D10" s="72" t="s">
        <v>73</v>
      </c>
      <c r="E10" s="72" t="s">
        <v>40</v>
      </c>
      <c r="F10" s="72" t="s">
        <v>39</v>
      </c>
      <c r="G10" s="72" t="s">
        <v>41</v>
      </c>
      <c r="H10" s="72" t="s">
        <v>74</v>
      </c>
      <c r="I10" s="72" t="s">
        <v>67</v>
      </c>
      <c r="J10" s="75" t="s">
        <v>53</v>
      </c>
      <c r="K10" s="75" t="s">
        <v>68</v>
      </c>
      <c r="L10" s="72" t="s">
        <v>69</v>
      </c>
    </row>
    <row r="11" spans="1:12" x14ac:dyDescent="0.25">
      <c r="A11" s="22" t="s">
        <v>20</v>
      </c>
      <c r="B11" s="58">
        <v>4225</v>
      </c>
      <c r="C11" s="41">
        <v>14</v>
      </c>
      <c r="D11" s="36">
        <f>C11/($B$11)/$E$11</f>
        <v>1.6568047337278107E-2</v>
      </c>
      <c r="E11" s="65">
        <v>0.2</v>
      </c>
      <c r="F11" s="41">
        <f>D11*$B$11*$E$11</f>
        <v>14</v>
      </c>
      <c r="G11" s="68">
        <v>0.7</v>
      </c>
      <c r="H11" s="37">
        <f>F11*G11</f>
        <v>9.7999999999999989</v>
      </c>
      <c r="I11" s="36">
        <f>D11*G11</f>
        <v>1.1597633136094675E-2</v>
      </c>
      <c r="J11" s="54">
        <f>19/770</f>
        <v>2.4675324675324677E-2</v>
      </c>
      <c r="K11" s="37">
        <f>H11*J11</f>
        <v>0.24181818181818179</v>
      </c>
      <c r="L11" s="36">
        <f>I11*J11</f>
        <v>2.8617536309844004E-4</v>
      </c>
    </row>
    <row r="12" spans="1:12" x14ac:dyDescent="0.25">
      <c r="A12" s="22" t="s">
        <v>21</v>
      </c>
      <c r="B12" s="59"/>
      <c r="C12" s="41">
        <v>203</v>
      </c>
      <c r="D12" s="36">
        <f t="shared" ref="D12:D14" si="5">C12/($B$11)/$E$11</f>
        <v>0.24023668639053253</v>
      </c>
      <c r="E12" s="66"/>
      <c r="F12" s="41">
        <f>D12*$B$11*$E$11</f>
        <v>203</v>
      </c>
      <c r="G12" s="68">
        <v>0.5</v>
      </c>
      <c r="H12" s="37">
        <f t="shared" ref="H12:H14" si="6">F12*G12</f>
        <v>101.5</v>
      </c>
      <c r="I12" s="36">
        <f>D12*G12</f>
        <v>0.12011834319526626</v>
      </c>
      <c r="J12" s="54">
        <f t="shared" ref="J12:J15" si="7">19/770</f>
        <v>2.4675324675324677E-2</v>
      </c>
      <c r="K12" s="37">
        <f t="shared" ref="K12:K14" si="8">H12*J12</f>
        <v>2.5045454545454549</v>
      </c>
      <c r="L12" s="36">
        <f t="shared" ref="L12:L14" si="9">I12*J12</f>
        <v>2.9639591178052716E-3</v>
      </c>
    </row>
    <row r="13" spans="1:12" x14ac:dyDescent="0.25">
      <c r="A13" s="22" t="s">
        <v>61</v>
      </c>
      <c r="B13" s="59"/>
      <c r="C13" s="41">
        <v>3019</v>
      </c>
      <c r="D13" s="36">
        <f t="shared" si="5"/>
        <v>3.5727810650887575</v>
      </c>
      <c r="E13" s="66"/>
      <c r="F13" s="41">
        <f>D13*$B$11*$E$11</f>
        <v>3019</v>
      </c>
      <c r="G13" s="68">
        <v>0.01</v>
      </c>
      <c r="H13" s="37">
        <f t="shared" si="6"/>
        <v>30.19</v>
      </c>
      <c r="I13" s="36">
        <f>D13*G13</f>
        <v>3.5727810650887579E-2</v>
      </c>
      <c r="J13" s="54">
        <f t="shared" si="7"/>
        <v>2.4675324675324677E-2</v>
      </c>
      <c r="K13" s="37">
        <f t="shared" si="8"/>
        <v>0.74494805194805203</v>
      </c>
      <c r="L13" s="36">
        <f t="shared" si="9"/>
        <v>8.8159532774917404E-4</v>
      </c>
    </row>
    <row r="14" spans="1:12" x14ac:dyDescent="0.25">
      <c r="A14" s="22" t="s">
        <v>62</v>
      </c>
      <c r="B14" s="60"/>
      <c r="C14" s="41">
        <v>312</v>
      </c>
      <c r="D14" s="36">
        <f t="shared" si="5"/>
        <v>0.36923076923076925</v>
      </c>
      <c r="E14" s="67"/>
      <c r="F14" s="41">
        <f>D14*$B$11*$E$11</f>
        <v>312</v>
      </c>
      <c r="G14" s="68">
        <v>0.01</v>
      </c>
      <c r="H14" s="37">
        <f t="shared" si="6"/>
        <v>3.12</v>
      </c>
      <c r="I14" s="36">
        <f>D14*G14</f>
        <v>3.6923076923076927E-3</v>
      </c>
      <c r="J14" s="54">
        <f t="shared" si="7"/>
        <v>2.4675324675324677E-2</v>
      </c>
      <c r="K14" s="37">
        <f t="shared" si="8"/>
        <v>7.6987012987012993E-2</v>
      </c>
      <c r="L14" s="36">
        <f t="shared" si="9"/>
        <v>9.1108891108891127E-5</v>
      </c>
    </row>
    <row r="15" spans="1:12" x14ac:dyDescent="0.25">
      <c r="A15" s="22" t="s">
        <v>24</v>
      </c>
      <c r="B15" s="22"/>
      <c r="C15" s="23"/>
      <c r="D15" s="23"/>
      <c r="E15" s="23"/>
      <c r="F15" s="41">
        <f>SUM(F11:F13)</f>
        <v>3236</v>
      </c>
      <c r="G15" s="22"/>
      <c r="H15" s="39">
        <f>SUM(H11:H13)</f>
        <v>141.49</v>
      </c>
      <c r="I15" s="46">
        <f>SUM(I11:I13)</f>
        <v>0.16744378698224854</v>
      </c>
      <c r="J15" s="54">
        <f t="shared" si="7"/>
        <v>2.4675324675324677E-2</v>
      </c>
      <c r="K15" s="39">
        <f>SUM(K11:K13)</f>
        <v>3.4913116883116886</v>
      </c>
      <c r="L15" s="46">
        <f>SUM(L11:L13)</f>
        <v>4.1317298086528858E-3</v>
      </c>
    </row>
    <row r="16" spans="1:12" ht="36.75" customHeight="1" x14ac:dyDescent="0.25">
      <c r="F16" s="42"/>
      <c r="H16" s="25"/>
      <c r="I16" s="45"/>
    </row>
    <row r="17" spans="1:12" s="73" customFormat="1" ht="33" customHeight="1" x14ac:dyDescent="0.25">
      <c r="A17" s="70" t="s">
        <v>23</v>
      </c>
      <c r="B17" s="71" t="s">
        <v>63</v>
      </c>
      <c r="C17" s="72" t="s">
        <v>72</v>
      </c>
      <c r="D17" s="72" t="s">
        <v>73</v>
      </c>
      <c r="E17" s="72" t="s">
        <v>40</v>
      </c>
      <c r="F17" s="72" t="s">
        <v>39</v>
      </c>
      <c r="G17" s="72" t="s">
        <v>41</v>
      </c>
      <c r="H17" s="72" t="s">
        <v>74</v>
      </c>
      <c r="I17" s="72" t="s">
        <v>67</v>
      </c>
      <c r="J17" s="75" t="s">
        <v>53</v>
      </c>
      <c r="K17" s="75" t="s">
        <v>68</v>
      </c>
      <c r="L17" s="72" t="s">
        <v>69</v>
      </c>
    </row>
    <row r="18" spans="1:12" x14ac:dyDescent="0.25">
      <c r="A18" s="22" t="s">
        <v>20</v>
      </c>
      <c r="B18" s="58">
        <v>1300</v>
      </c>
      <c r="C18" s="41">
        <v>4</v>
      </c>
      <c r="D18" s="36">
        <f>C18/$B$18/$E$18</f>
        <v>1.5384615384615384E-2</v>
      </c>
      <c r="E18" s="65">
        <v>0.2</v>
      </c>
      <c r="F18" s="41">
        <f>D18*$E$18*$B$18</f>
        <v>4</v>
      </c>
      <c r="G18" s="68">
        <v>0.7</v>
      </c>
      <c r="H18" s="37">
        <f>F18*G18</f>
        <v>2.8</v>
      </c>
      <c r="I18" s="36">
        <f>D18*G18</f>
        <v>1.0769230769230769E-2</v>
      </c>
      <c r="J18" s="54">
        <f>19/770</f>
        <v>2.4675324675324677E-2</v>
      </c>
      <c r="K18" s="37">
        <f>H18*J18</f>
        <v>6.9090909090909092E-2</v>
      </c>
      <c r="L18" s="36">
        <f>I18*J18</f>
        <v>2.6573426573426576E-4</v>
      </c>
    </row>
    <row r="19" spans="1:12" x14ac:dyDescent="0.25">
      <c r="A19" s="22" t="s">
        <v>21</v>
      </c>
      <c r="B19" s="59"/>
      <c r="C19" s="41">
        <v>118</v>
      </c>
      <c r="D19" s="36">
        <f t="shared" ref="D19:D21" si="10">C19/$B$18/$E$18</f>
        <v>0.45384615384615384</v>
      </c>
      <c r="E19" s="66"/>
      <c r="F19" s="41">
        <f>D19*$E$18*$B$18</f>
        <v>118</v>
      </c>
      <c r="G19" s="68">
        <v>0.5</v>
      </c>
      <c r="H19" s="37">
        <f t="shared" ref="H19:H21" si="11">F19*G19</f>
        <v>59</v>
      </c>
      <c r="I19" s="36">
        <f>D19*G19</f>
        <v>0.22692307692307692</v>
      </c>
      <c r="J19" s="54">
        <f t="shared" ref="J19:J22" si="12">19/770</f>
        <v>2.4675324675324677E-2</v>
      </c>
      <c r="K19" s="37">
        <f t="shared" ref="K19:K21" si="13">H19*J19</f>
        <v>1.4558441558441559</v>
      </c>
      <c r="L19" s="36">
        <f t="shared" ref="L19:L21" si="14">I19*J19</f>
        <v>5.5994005994005995E-3</v>
      </c>
    </row>
    <row r="20" spans="1:12" x14ac:dyDescent="0.25">
      <c r="A20" s="22" t="s">
        <v>61</v>
      </c>
      <c r="B20" s="59"/>
      <c r="C20" s="41">
        <v>1279</v>
      </c>
      <c r="D20" s="36">
        <f t="shared" si="10"/>
        <v>4.9192307692307686</v>
      </c>
      <c r="E20" s="66"/>
      <c r="F20" s="41">
        <f>D20*$E$18*$B$18</f>
        <v>1279</v>
      </c>
      <c r="G20" s="68">
        <v>0.01</v>
      </c>
      <c r="H20" s="37">
        <f t="shared" si="11"/>
        <v>12.790000000000001</v>
      </c>
      <c r="I20" s="36">
        <f>D20*G20</f>
        <v>4.9192307692307688E-2</v>
      </c>
      <c r="J20" s="54">
        <f t="shared" si="12"/>
        <v>2.4675324675324677E-2</v>
      </c>
      <c r="K20" s="37">
        <f t="shared" si="13"/>
        <v>0.31559740259740265</v>
      </c>
      <c r="L20" s="36">
        <f t="shared" si="14"/>
        <v>1.2138361638361639E-3</v>
      </c>
    </row>
    <row r="21" spans="1:12" x14ac:dyDescent="0.25">
      <c r="A21" s="22" t="s">
        <v>62</v>
      </c>
      <c r="B21" s="60"/>
      <c r="C21" s="41">
        <v>72</v>
      </c>
      <c r="D21" s="36">
        <f t="shared" si="10"/>
        <v>0.27692307692307694</v>
      </c>
      <c r="E21" s="67"/>
      <c r="F21" s="41">
        <f>D21*$E$18*$B$18</f>
        <v>72.000000000000014</v>
      </c>
      <c r="G21" s="68">
        <v>0.01</v>
      </c>
      <c r="H21" s="37">
        <f t="shared" si="11"/>
        <v>0.7200000000000002</v>
      </c>
      <c r="I21" s="36">
        <f>D21*G21</f>
        <v>2.7692307692307695E-3</v>
      </c>
      <c r="J21" s="54">
        <f t="shared" si="12"/>
        <v>2.4675324675324677E-2</v>
      </c>
      <c r="K21" s="37">
        <f t="shared" si="13"/>
        <v>1.7766233766233774E-2</v>
      </c>
      <c r="L21" s="36">
        <f t="shared" si="14"/>
        <v>6.8331668331668335E-5</v>
      </c>
    </row>
    <row r="22" spans="1:12" x14ac:dyDescent="0.25">
      <c r="A22" s="22" t="s">
        <v>24</v>
      </c>
      <c r="B22" s="22"/>
      <c r="C22" s="23"/>
      <c r="D22" s="23"/>
      <c r="E22" s="23"/>
      <c r="F22" s="41">
        <f>SUM(F18:F20)</f>
        <v>1401</v>
      </c>
      <c r="G22" s="22"/>
      <c r="H22" s="39">
        <f>SUM(H18:H20)</f>
        <v>74.59</v>
      </c>
      <c r="I22" s="46">
        <f>SUM(I18:I20)</f>
        <v>0.2868846153846154</v>
      </c>
      <c r="J22" s="54">
        <f t="shared" si="12"/>
        <v>2.4675324675324677E-2</v>
      </c>
      <c r="K22" s="39">
        <f>SUM(K18:K20)</f>
        <v>1.8405324675324677</v>
      </c>
      <c r="L22" s="46">
        <f>SUM(L18:L20)</f>
        <v>7.0789710289710286E-3</v>
      </c>
    </row>
    <row r="24" spans="1:12" x14ac:dyDescent="0.25">
      <c r="A24" t="s">
        <v>55</v>
      </c>
      <c r="B24" s="25">
        <f>17.3/5</f>
        <v>3.46</v>
      </c>
      <c r="C24" t="s">
        <v>50</v>
      </c>
      <c r="F24" s="25"/>
      <c r="H24" s="25"/>
      <c r="J24" s="25"/>
    </row>
    <row r="25" spans="1:12" x14ac:dyDescent="0.25">
      <c r="A25" t="s">
        <v>78</v>
      </c>
      <c r="B25" s="61">
        <f>K15+K22</f>
        <v>5.3318441558441565</v>
      </c>
      <c r="F25" s="40"/>
      <c r="H25" s="40"/>
      <c r="J25" s="40"/>
    </row>
    <row r="26" spans="1:12" ht="18.75" x14ac:dyDescent="0.3">
      <c r="A26" s="52" t="s">
        <v>48</v>
      </c>
      <c r="B26" s="53">
        <f>B25/B24</f>
        <v>1.5409954207642071</v>
      </c>
      <c r="E26" s="52"/>
      <c r="F26" s="53"/>
      <c r="I26" s="52"/>
      <c r="J26" s="53"/>
    </row>
    <row r="27" spans="1:12" ht="18.75" x14ac:dyDescent="0.3">
      <c r="A27" s="52"/>
      <c r="B27" s="53"/>
      <c r="E27" s="52"/>
      <c r="F27" s="53"/>
      <c r="I27" s="52"/>
      <c r="J27" s="53"/>
    </row>
    <row r="28" spans="1:12" x14ac:dyDescent="0.25">
      <c r="A28" t="s">
        <v>75</v>
      </c>
      <c r="B28" s="25">
        <f>11/5</f>
        <v>2.2000000000000002</v>
      </c>
      <c r="C28" t="s">
        <v>50</v>
      </c>
      <c r="F28" s="25"/>
      <c r="H28" s="25"/>
      <c r="J28" s="25"/>
    </row>
    <row r="29" spans="1:12" x14ac:dyDescent="0.25">
      <c r="A29" t="s">
        <v>77</v>
      </c>
      <c r="B29" s="61">
        <f>K8</f>
        <v>2.9785584415584418</v>
      </c>
      <c r="F29" s="40"/>
      <c r="H29" s="40"/>
      <c r="J29" s="40"/>
    </row>
    <row r="30" spans="1:12" ht="18.75" x14ac:dyDescent="0.3">
      <c r="A30" s="52" t="s">
        <v>48</v>
      </c>
      <c r="B30" s="53">
        <f>B29/B28</f>
        <v>1.3538902007083826</v>
      </c>
      <c r="E30" s="52"/>
      <c r="F30" s="53"/>
      <c r="I30" s="52"/>
      <c r="J30" s="53"/>
    </row>
    <row r="31" spans="1:12" ht="18.75" x14ac:dyDescent="0.3">
      <c r="A31" s="52"/>
      <c r="B31" s="53"/>
      <c r="E31" s="52"/>
      <c r="F31" s="53"/>
      <c r="I31" s="52"/>
      <c r="J31" s="53"/>
    </row>
    <row r="32" spans="1:12" x14ac:dyDescent="0.25">
      <c r="A32" s="23"/>
      <c r="B32" s="47" t="s">
        <v>47</v>
      </c>
      <c r="C32" s="47" t="s">
        <v>19</v>
      </c>
      <c r="D32" s="47" t="s">
        <v>46</v>
      </c>
    </row>
    <row r="33" spans="1:4" x14ac:dyDescent="0.25">
      <c r="A33" s="23" t="s">
        <v>56</v>
      </c>
      <c r="B33" s="51">
        <f>B24+B28</f>
        <v>5.66</v>
      </c>
      <c r="C33" s="51">
        <f>B28</f>
        <v>2.2000000000000002</v>
      </c>
      <c r="D33" s="51">
        <f>B24</f>
        <v>3.46</v>
      </c>
    </row>
    <row r="34" spans="1:4" x14ac:dyDescent="0.25">
      <c r="A34" s="23" t="s">
        <v>51</v>
      </c>
      <c r="B34" s="51">
        <f>C34+D34</f>
        <v>18125</v>
      </c>
      <c r="C34" s="51">
        <f>B4</f>
        <v>12600</v>
      </c>
      <c r="D34" s="51">
        <f>B11+B18</f>
        <v>5525</v>
      </c>
    </row>
    <row r="35" spans="1:4" x14ac:dyDescent="0.25">
      <c r="A35" s="23" t="s">
        <v>57</v>
      </c>
      <c r="B35" s="48">
        <f>B33/B34*1000</f>
        <v>0.31227586206896552</v>
      </c>
      <c r="C35" s="48">
        <f t="shared" ref="C35:D35" si="15">C33/C34*1000</f>
        <v>0.17460317460317462</v>
      </c>
      <c r="D35" s="44">
        <f t="shared" si="15"/>
        <v>0.62624434389140271</v>
      </c>
    </row>
    <row r="36" spans="1:4" x14ac:dyDescent="0.25">
      <c r="A36" s="23" t="s">
        <v>60</v>
      </c>
      <c r="B36" s="44">
        <f>C36*C34/$B$34+$D$36*D34/$B$34</f>
        <v>2.2925248544558889</v>
      </c>
      <c r="C36" s="44">
        <f>L8*1000</f>
        <v>1.181967635539064</v>
      </c>
      <c r="D36" s="44">
        <f>($L$15*B11*E11/($B$11*$E$11+$B$18*$E$18)+$L$22*B18*E18/($B$11*$E$11+$B$18*$E$18))*1000</f>
        <v>4.8251983310806841</v>
      </c>
    </row>
    <row r="37" spans="1:4" ht="54.75" x14ac:dyDescent="0.25">
      <c r="A37" s="49" t="s">
        <v>58</v>
      </c>
      <c r="B37" s="50">
        <f>B36/B35</f>
        <v>7.3413450507090081</v>
      </c>
      <c r="C37" s="50">
        <f>C36/C35</f>
        <v>6.7694510035419118</v>
      </c>
      <c r="D37" s="50">
        <f>D36/D35</f>
        <v>7.7049771038210348</v>
      </c>
    </row>
  </sheetData>
  <mergeCells count="6">
    <mergeCell ref="B4:B7"/>
    <mergeCell ref="E4:E7"/>
    <mergeCell ref="B11:B14"/>
    <mergeCell ref="E11:E14"/>
    <mergeCell ref="B18:B21"/>
    <mergeCell ref="E18:E2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EA8C-8EC5-44B5-B55B-A736EAC0F8C9}">
  <dimension ref="A1:L37"/>
  <sheetViews>
    <sheetView showGridLines="0" topLeftCell="A7" workbookViewId="0">
      <selection activeCell="B25" sqref="B25"/>
    </sheetView>
  </sheetViews>
  <sheetFormatPr defaultColWidth="11.42578125" defaultRowHeight="15" x14ac:dyDescent="0.25"/>
  <cols>
    <col min="1" max="1" width="48.28515625" customWidth="1"/>
    <col min="2" max="2" width="12.28515625" customWidth="1"/>
    <col min="3" max="3" width="29.7109375" customWidth="1"/>
    <col min="4" max="4" width="23.28515625" customWidth="1"/>
    <col min="5" max="5" width="18.5703125" bestFit="1" customWidth="1"/>
    <col min="6" max="6" width="14.85546875" customWidth="1"/>
    <col min="7" max="7" width="18.140625" bestFit="1" customWidth="1"/>
    <col min="8" max="8" width="23" customWidth="1"/>
    <col min="9" max="9" width="33.5703125" bestFit="1" customWidth="1"/>
    <col min="10" max="10" width="21.5703125" customWidth="1"/>
    <col min="11" max="11" width="23.5703125" customWidth="1"/>
    <col min="12" max="12" width="33.5703125" customWidth="1"/>
  </cols>
  <sheetData>
    <row r="1" spans="1:12" s="21" customFormat="1" ht="23.25" x14ac:dyDescent="0.35">
      <c r="A1" s="20" t="s">
        <v>70</v>
      </c>
    </row>
    <row r="2" spans="1:12" x14ac:dyDescent="0.25">
      <c r="J2" t="s">
        <v>54</v>
      </c>
    </row>
    <row r="3" spans="1:12" s="73" customFormat="1" ht="33" customHeight="1" x14ac:dyDescent="0.25">
      <c r="A3" s="70" t="s">
        <v>19</v>
      </c>
      <c r="B3" s="71" t="s">
        <v>63</v>
      </c>
      <c r="C3" s="72" t="s">
        <v>65</v>
      </c>
      <c r="D3" s="72" t="s">
        <v>66</v>
      </c>
      <c r="E3" s="72" t="s">
        <v>40</v>
      </c>
      <c r="F3" s="72" t="s">
        <v>39</v>
      </c>
      <c r="G3" s="72" t="s">
        <v>41</v>
      </c>
      <c r="H3" s="72" t="s">
        <v>74</v>
      </c>
      <c r="I3" s="72" t="s">
        <v>67</v>
      </c>
      <c r="J3" s="75" t="s">
        <v>53</v>
      </c>
      <c r="K3" s="75" t="s">
        <v>68</v>
      </c>
      <c r="L3" s="72" t="s">
        <v>69</v>
      </c>
    </row>
    <row r="4" spans="1:12" x14ac:dyDescent="0.25">
      <c r="A4" s="22" t="s">
        <v>20</v>
      </c>
      <c r="B4" s="58">
        <v>12600</v>
      </c>
      <c r="C4" s="38"/>
      <c r="D4" s="36">
        <f>IFERROR(C4/($B$4)/$E$4,0)</f>
        <v>0</v>
      </c>
      <c r="E4" s="62">
        <v>0</v>
      </c>
      <c r="F4" s="41">
        <f>D4*$B$4*$E$4</f>
        <v>0</v>
      </c>
      <c r="G4" s="68">
        <v>0.7</v>
      </c>
      <c r="H4" s="37">
        <f>F4*G4</f>
        <v>0</v>
      </c>
      <c r="I4" s="36">
        <f>D4*G4</f>
        <v>0</v>
      </c>
      <c r="J4" s="54">
        <f>19/770</f>
        <v>2.4675324675324677E-2</v>
      </c>
      <c r="K4" s="37">
        <f>H4*J4</f>
        <v>0</v>
      </c>
      <c r="L4" s="36">
        <f>I4*J4</f>
        <v>0</v>
      </c>
    </row>
    <row r="5" spans="1:12" x14ac:dyDescent="0.25">
      <c r="A5" s="22" t="s">
        <v>21</v>
      </c>
      <c r="B5" s="59"/>
      <c r="C5" s="38"/>
      <c r="D5" s="36">
        <f t="shared" ref="D5:D7" si="0">IFERROR(C5/($B$4)/$E$4,0)</f>
        <v>0</v>
      </c>
      <c r="E5" s="63"/>
      <c r="F5" s="41">
        <f>D5*$B$4*$E$4</f>
        <v>0</v>
      </c>
      <c r="G5" s="68">
        <v>0.5</v>
      </c>
      <c r="H5" s="37">
        <f t="shared" ref="H5:H7" si="1">F5*G5</f>
        <v>0</v>
      </c>
      <c r="I5" s="36">
        <f>D5*G5</f>
        <v>0</v>
      </c>
      <c r="J5" s="54">
        <f t="shared" ref="J5:J8" si="2">19/770</f>
        <v>2.4675324675324677E-2</v>
      </c>
      <c r="K5" s="37">
        <f t="shared" ref="K5:K7" si="3">H5*J5</f>
        <v>0</v>
      </c>
      <c r="L5" s="36">
        <f t="shared" ref="L5:L7" si="4">I5*J5</f>
        <v>0</v>
      </c>
    </row>
    <row r="6" spans="1:12" x14ac:dyDescent="0.25">
      <c r="A6" s="22" t="s">
        <v>61</v>
      </c>
      <c r="B6" s="59"/>
      <c r="C6" s="38"/>
      <c r="D6" s="36">
        <f t="shared" si="0"/>
        <v>0</v>
      </c>
      <c r="E6" s="63"/>
      <c r="F6" s="41">
        <f>D6*$B$4*$E$4</f>
        <v>0</v>
      </c>
      <c r="G6" s="68">
        <v>0.01</v>
      </c>
      <c r="H6" s="37">
        <f t="shared" si="1"/>
        <v>0</v>
      </c>
      <c r="I6" s="36">
        <f>D6*G6</f>
        <v>0</v>
      </c>
      <c r="J6" s="54">
        <f t="shared" si="2"/>
        <v>2.4675324675324677E-2</v>
      </c>
      <c r="K6" s="37">
        <f t="shared" si="3"/>
        <v>0</v>
      </c>
      <c r="L6" s="36">
        <f t="shared" si="4"/>
        <v>0</v>
      </c>
    </row>
    <row r="7" spans="1:12" x14ac:dyDescent="0.25">
      <c r="A7" s="22" t="s">
        <v>62</v>
      </c>
      <c r="B7" s="60"/>
      <c r="C7" s="38"/>
      <c r="D7" s="36">
        <f t="shared" si="0"/>
        <v>0</v>
      </c>
      <c r="E7" s="64"/>
      <c r="F7" s="41">
        <f>D7*$B$4*$E$4</f>
        <v>0</v>
      </c>
      <c r="G7" s="68">
        <v>0.01</v>
      </c>
      <c r="H7" s="37">
        <f t="shared" si="1"/>
        <v>0</v>
      </c>
      <c r="I7" s="36">
        <f>D7*G7</f>
        <v>0</v>
      </c>
      <c r="J7" s="54">
        <f t="shared" si="2"/>
        <v>2.4675324675324677E-2</v>
      </c>
      <c r="K7" s="37">
        <f t="shared" si="3"/>
        <v>0</v>
      </c>
      <c r="L7" s="36">
        <f t="shared" si="4"/>
        <v>0</v>
      </c>
    </row>
    <row r="8" spans="1:12" x14ac:dyDescent="0.25">
      <c r="A8" s="22" t="s">
        <v>24</v>
      </c>
      <c r="B8" s="22"/>
      <c r="C8" s="23"/>
      <c r="D8" s="23"/>
      <c r="E8" s="23"/>
      <c r="F8" s="41">
        <f>SUM(F4:F6)</f>
        <v>0</v>
      </c>
      <c r="G8" s="22"/>
      <c r="H8" s="39">
        <f>SUM(H4:H6)</f>
        <v>0</v>
      </c>
      <c r="I8" s="46">
        <f>SUM(I4:I6)</f>
        <v>0</v>
      </c>
      <c r="J8" s="54">
        <f t="shared" si="2"/>
        <v>2.4675324675324677E-2</v>
      </c>
      <c r="K8" s="39">
        <f>SUM(K4:K6)</f>
        <v>0</v>
      </c>
      <c r="L8" s="46">
        <f>SUM(L4:L6)</f>
        <v>0</v>
      </c>
    </row>
    <row r="9" spans="1:12" ht="20.25" customHeight="1" x14ac:dyDescent="0.25">
      <c r="F9" s="42"/>
      <c r="H9" s="25"/>
      <c r="I9" s="45"/>
    </row>
    <row r="10" spans="1:12" s="73" customFormat="1" ht="33" customHeight="1" x14ac:dyDescent="0.25">
      <c r="A10" s="70" t="s">
        <v>22</v>
      </c>
      <c r="B10" s="71" t="s">
        <v>63</v>
      </c>
      <c r="C10" s="72" t="s">
        <v>65</v>
      </c>
      <c r="D10" s="72" t="s">
        <v>66</v>
      </c>
      <c r="E10" s="72" t="s">
        <v>40</v>
      </c>
      <c r="F10" s="72" t="s">
        <v>39</v>
      </c>
      <c r="G10" s="72" t="s">
        <v>41</v>
      </c>
      <c r="H10" s="72" t="s">
        <v>74</v>
      </c>
      <c r="I10" s="72" t="s">
        <v>67</v>
      </c>
      <c r="J10" s="75" t="s">
        <v>53</v>
      </c>
      <c r="K10" s="75" t="s">
        <v>68</v>
      </c>
      <c r="L10" s="72" t="s">
        <v>69</v>
      </c>
    </row>
    <row r="11" spans="1:12" x14ac:dyDescent="0.25">
      <c r="A11" s="22" t="s">
        <v>20</v>
      </c>
      <c r="B11" s="58">
        <v>4225</v>
      </c>
      <c r="C11" s="41">
        <v>59</v>
      </c>
      <c r="D11" s="36">
        <f>C11/($B$11)/$E$11</f>
        <v>1.3964497041420118E-2</v>
      </c>
      <c r="E11" s="65">
        <v>1</v>
      </c>
      <c r="F11" s="41">
        <f>D11*$B$11*$E$11</f>
        <v>59</v>
      </c>
      <c r="G11" s="68">
        <v>0.7</v>
      </c>
      <c r="H11" s="37">
        <f>F11*G11</f>
        <v>41.3</v>
      </c>
      <c r="I11" s="36">
        <f>D11*G11</f>
        <v>9.7751479289940827E-3</v>
      </c>
      <c r="J11" s="54">
        <f>19/770</f>
        <v>2.4675324675324677E-2</v>
      </c>
      <c r="K11" s="37">
        <f>H11*J11</f>
        <v>1.019090909090909</v>
      </c>
      <c r="L11" s="36">
        <f>I11*J11</f>
        <v>2.412049488972566E-4</v>
      </c>
    </row>
    <row r="12" spans="1:12" x14ac:dyDescent="0.25">
      <c r="A12" s="22" t="s">
        <v>21</v>
      </c>
      <c r="B12" s="59"/>
      <c r="C12" s="41">
        <v>5293</v>
      </c>
      <c r="D12" s="36">
        <f t="shared" ref="D12:D14" si="5">C12/($B$11)/$E$11</f>
        <v>1.2527810650887574</v>
      </c>
      <c r="E12" s="66"/>
      <c r="F12" s="41">
        <f>D12*$B$11*$E$11</f>
        <v>5293</v>
      </c>
      <c r="G12" s="68">
        <v>0.5</v>
      </c>
      <c r="H12" s="37">
        <f t="shared" ref="H12:H14" si="6">F12*G12</f>
        <v>2646.5</v>
      </c>
      <c r="I12" s="36">
        <f>D12*G12</f>
        <v>0.62639053254437871</v>
      </c>
      <c r="J12" s="54">
        <f t="shared" ref="J12:J15" si="7">19/770</f>
        <v>2.4675324675324677E-2</v>
      </c>
      <c r="K12" s="37">
        <f t="shared" ref="K12:K14" si="8">H12*J12</f>
        <v>65.303246753246754</v>
      </c>
      <c r="L12" s="36">
        <f t="shared" ref="L12:L14" si="9">I12*J12</f>
        <v>1.5456389764082073E-2</v>
      </c>
    </row>
    <row r="13" spans="1:12" x14ac:dyDescent="0.25">
      <c r="A13" s="22" t="s">
        <v>61</v>
      </c>
      <c r="B13" s="59"/>
      <c r="C13" s="41">
        <v>52516</v>
      </c>
      <c r="D13" s="36">
        <f t="shared" si="5"/>
        <v>12.429822485207101</v>
      </c>
      <c r="E13" s="66"/>
      <c r="F13" s="41">
        <f>D13*$B$11*$E$11</f>
        <v>52516</v>
      </c>
      <c r="G13" s="68">
        <v>0.01</v>
      </c>
      <c r="H13" s="37">
        <f t="shared" si="6"/>
        <v>525.16</v>
      </c>
      <c r="I13" s="36">
        <f>D13*G13</f>
        <v>0.12429822485207101</v>
      </c>
      <c r="J13" s="54">
        <f t="shared" si="7"/>
        <v>2.4675324675324677E-2</v>
      </c>
      <c r="K13" s="37">
        <f t="shared" si="8"/>
        <v>12.958493506493506</v>
      </c>
      <c r="L13" s="36">
        <f t="shared" si="9"/>
        <v>3.0670990547913626E-3</v>
      </c>
    </row>
    <row r="14" spans="1:12" x14ac:dyDescent="0.25">
      <c r="A14" s="22" t="s">
        <v>62</v>
      </c>
      <c r="B14" s="60"/>
      <c r="C14" s="41">
        <v>8146</v>
      </c>
      <c r="D14" s="36">
        <f t="shared" si="5"/>
        <v>1.9280473372781064</v>
      </c>
      <c r="E14" s="67"/>
      <c r="F14" s="41">
        <f>D14*$B$11*$E$11</f>
        <v>8145.9999999999991</v>
      </c>
      <c r="G14" s="68">
        <v>0.01</v>
      </c>
      <c r="H14" s="37">
        <f t="shared" si="6"/>
        <v>81.459999999999994</v>
      </c>
      <c r="I14" s="36">
        <f>D14*G14</f>
        <v>1.9280473372781066E-2</v>
      </c>
      <c r="J14" s="54">
        <f t="shared" si="7"/>
        <v>2.4675324675324677E-2</v>
      </c>
      <c r="K14" s="37">
        <f t="shared" si="8"/>
        <v>2.0100519480519479</v>
      </c>
      <c r="L14" s="36">
        <f t="shared" si="9"/>
        <v>4.7575194036732503E-4</v>
      </c>
    </row>
    <row r="15" spans="1:12" x14ac:dyDescent="0.25">
      <c r="A15" s="22" t="s">
        <v>24</v>
      </c>
      <c r="B15" s="22"/>
      <c r="C15" s="23"/>
      <c r="D15" s="23"/>
      <c r="E15" s="23"/>
      <c r="F15" s="41">
        <f>SUM(F11:F13)</f>
        <v>57868</v>
      </c>
      <c r="G15" s="22"/>
      <c r="H15" s="39">
        <f>SUM(H11:H13)</f>
        <v>3212.96</v>
      </c>
      <c r="I15" s="46">
        <f>SUM(I11:I13)</f>
        <v>0.76046390532544372</v>
      </c>
      <c r="J15" s="54">
        <f t="shared" si="7"/>
        <v>2.4675324675324677E-2</v>
      </c>
      <c r="K15" s="39">
        <f>SUM(K11:K13)</f>
        <v>79.28083116883117</v>
      </c>
      <c r="L15" s="46">
        <f>SUM(L11:L13)</f>
        <v>1.8764693767770693E-2</v>
      </c>
    </row>
    <row r="16" spans="1:12" ht="36.75" customHeight="1" x14ac:dyDescent="0.25">
      <c r="F16" s="42"/>
      <c r="H16" s="25"/>
      <c r="I16" s="45"/>
    </row>
    <row r="17" spans="1:12" s="73" customFormat="1" ht="33" customHeight="1" x14ac:dyDescent="0.25">
      <c r="A17" s="70" t="s">
        <v>23</v>
      </c>
      <c r="B17" s="71" t="s">
        <v>63</v>
      </c>
      <c r="C17" s="72" t="s">
        <v>65</v>
      </c>
      <c r="D17" s="72" t="s">
        <v>66</v>
      </c>
      <c r="E17" s="72" t="s">
        <v>40</v>
      </c>
      <c r="F17" s="72" t="s">
        <v>39</v>
      </c>
      <c r="G17" s="72" t="s">
        <v>41</v>
      </c>
      <c r="H17" s="72" t="s">
        <v>74</v>
      </c>
      <c r="I17" s="72" t="s">
        <v>67</v>
      </c>
      <c r="J17" s="75" t="s">
        <v>53</v>
      </c>
      <c r="K17" s="75" t="s">
        <v>68</v>
      </c>
      <c r="L17" s="72" t="s">
        <v>69</v>
      </c>
    </row>
    <row r="18" spans="1:12" x14ac:dyDescent="0.25">
      <c r="A18" s="22" t="s">
        <v>20</v>
      </c>
      <c r="B18" s="58">
        <v>1300</v>
      </c>
      <c r="C18" s="41">
        <v>27</v>
      </c>
      <c r="D18" s="36">
        <f>C18/$B$18/$E$18</f>
        <v>2.0769230769230769E-2</v>
      </c>
      <c r="E18" s="65">
        <v>1</v>
      </c>
      <c r="F18" s="41">
        <f>D18*$E$18*$B$18</f>
        <v>27</v>
      </c>
      <c r="G18" s="68">
        <v>0.7</v>
      </c>
      <c r="H18" s="37">
        <f>F18*G18</f>
        <v>18.899999999999999</v>
      </c>
      <c r="I18" s="36">
        <f>D18*G18</f>
        <v>1.4538461538461537E-2</v>
      </c>
      <c r="J18" s="54">
        <f>19/770</f>
        <v>2.4675324675324677E-2</v>
      </c>
      <c r="K18" s="37">
        <f>H18*J18</f>
        <v>0.46636363636363637</v>
      </c>
      <c r="L18" s="36">
        <f>I18*J18</f>
        <v>3.5874125874125871E-4</v>
      </c>
    </row>
    <row r="19" spans="1:12" x14ac:dyDescent="0.25">
      <c r="A19" s="22" t="s">
        <v>21</v>
      </c>
      <c r="B19" s="59"/>
      <c r="C19" s="41">
        <v>1544</v>
      </c>
      <c r="D19" s="36">
        <f t="shared" ref="D19:D21" si="10">C19/$B$18/$E$18</f>
        <v>1.1876923076923076</v>
      </c>
      <c r="E19" s="66"/>
      <c r="F19" s="41">
        <f>D19*$E$18*$B$18</f>
        <v>1543.9999999999998</v>
      </c>
      <c r="G19" s="68">
        <v>0.5</v>
      </c>
      <c r="H19" s="37">
        <f t="shared" ref="H19:H21" si="11">F19*G19</f>
        <v>771.99999999999989</v>
      </c>
      <c r="I19" s="36">
        <f>D19*G19</f>
        <v>0.5938461538461538</v>
      </c>
      <c r="J19" s="54">
        <f t="shared" ref="J19:J22" si="12">19/770</f>
        <v>2.4675324675324677E-2</v>
      </c>
      <c r="K19" s="37">
        <f t="shared" ref="K19:K21" si="13">H19*J19</f>
        <v>19.049350649350647</v>
      </c>
      <c r="L19" s="36">
        <f t="shared" ref="L19:L21" si="14">I19*J19</f>
        <v>1.4653346653346652E-2</v>
      </c>
    </row>
    <row r="20" spans="1:12" x14ac:dyDescent="0.25">
      <c r="A20" s="22" t="s">
        <v>61</v>
      </c>
      <c r="B20" s="59"/>
      <c r="C20" s="41">
        <v>14306</v>
      </c>
      <c r="D20" s="36">
        <f t="shared" si="10"/>
        <v>11.004615384615384</v>
      </c>
      <c r="E20" s="66"/>
      <c r="F20" s="41">
        <f>D20*$E$18*$B$18</f>
        <v>14306</v>
      </c>
      <c r="G20" s="68">
        <v>0.01</v>
      </c>
      <c r="H20" s="37">
        <f t="shared" si="11"/>
        <v>143.06</v>
      </c>
      <c r="I20" s="36">
        <f>D20*G20</f>
        <v>0.11004615384615385</v>
      </c>
      <c r="J20" s="54">
        <f t="shared" si="12"/>
        <v>2.4675324675324677E-2</v>
      </c>
      <c r="K20" s="37">
        <f t="shared" si="13"/>
        <v>3.5300519480519483</v>
      </c>
      <c r="L20" s="36">
        <f t="shared" si="14"/>
        <v>2.7154245754245757E-3</v>
      </c>
    </row>
    <row r="21" spans="1:12" x14ac:dyDescent="0.25">
      <c r="A21" s="22" t="s">
        <v>62</v>
      </c>
      <c r="B21" s="60"/>
      <c r="C21" s="41">
        <v>2387</v>
      </c>
      <c r="D21" s="36">
        <f t="shared" si="10"/>
        <v>1.8361538461538462</v>
      </c>
      <c r="E21" s="67"/>
      <c r="F21" s="41">
        <f>D21*$E$18*$B$18</f>
        <v>2387</v>
      </c>
      <c r="G21" s="68">
        <v>0.01</v>
      </c>
      <c r="H21" s="37">
        <f t="shared" si="11"/>
        <v>23.87</v>
      </c>
      <c r="I21" s="36">
        <f>D21*G21</f>
        <v>1.8361538461538464E-2</v>
      </c>
      <c r="J21" s="54">
        <f t="shared" si="12"/>
        <v>2.4675324675324677E-2</v>
      </c>
      <c r="K21" s="37">
        <f t="shared" si="13"/>
        <v>0.58900000000000008</v>
      </c>
      <c r="L21" s="36">
        <f t="shared" si="14"/>
        <v>4.5307692307692318E-4</v>
      </c>
    </row>
    <row r="22" spans="1:12" x14ac:dyDescent="0.25">
      <c r="A22" s="22" t="s">
        <v>24</v>
      </c>
      <c r="B22" s="22"/>
      <c r="C22" s="23"/>
      <c r="D22" s="23"/>
      <c r="E22" s="23"/>
      <c r="F22" s="41">
        <f>SUM(F18:F20)</f>
        <v>15877</v>
      </c>
      <c r="G22" s="22"/>
      <c r="H22" s="39">
        <f>SUM(H18:H20)</f>
        <v>933.95999999999981</v>
      </c>
      <c r="I22" s="46">
        <f>SUM(I18:I20)</f>
        <v>0.71843076923076921</v>
      </c>
      <c r="J22" s="54">
        <f t="shared" si="12"/>
        <v>2.4675324675324677E-2</v>
      </c>
      <c r="K22" s="39">
        <f>SUM(K18:K20)</f>
        <v>23.04576623376623</v>
      </c>
      <c r="L22" s="46">
        <f>SUM(L18:L20)</f>
        <v>1.7727512487512486E-2</v>
      </c>
    </row>
    <row r="24" spans="1:12" x14ac:dyDescent="0.25">
      <c r="A24" t="s">
        <v>55</v>
      </c>
      <c r="B24" s="25">
        <f>17.3/5</f>
        <v>3.46</v>
      </c>
      <c r="F24" s="25"/>
      <c r="H24" s="25"/>
      <c r="J24" s="25"/>
    </row>
    <row r="25" spans="1:12" x14ac:dyDescent="0.25">
      <c r="A25" t="s">
        <v>76</v>
      </c>
      <c r="B25" s="40">
        <f>K15+K22</f>
        <v>102.3265974025974</v>
      </c>
      <c r="F25" s="40"/>
      <c r="H25" s="40"/>
      <c r="J25" s="40"/>
    </row>
    <row r="26" spans="1:12" ht="18.75" x14ac:dyDescent="0.3">
      <c r="A26" s="52" t="s">
        <v>48</v>
      </c>
      <c r="B26" s="53">
        <f>B25/B24</f>
        <v>29.574161099016589</v>
      </c>
      <c r="E26" s="52"/>
      <c r="F26" s="53"/>
      <c r="I26" s="52"/>
      <c r="J26" s="53"/>
    </row>
    <row r="27" spans="1:12" ht="18.75" x14ac:dyDescent="0.3">
      <c r="A27" s="52"/>
      <c r="B27" s="53"/>
      <c r="E27" s="52"/>
      <c r="F27" s="53"/>
      <c r="I27" s="52"/>
      <c r="J27" s="53"/>
    </row>
    <row r="28" spans="1:12" x14ac:dyDescent="0.25">
      <c r="A28" t="s">
        <v>75</v>
      </c>
      <c r="B28" s="25">
        <f>11/5</f>
        <v>2.2000000000000002</v>
      </c>
      <c r="F28" s="25"/>
      <c r="H28" s="25"/>
      <c r="J28" s="25"/>
    </row>
    <row r="29" spans="1:12" x14ac:dyDescent="0.25">
      <c r="A29" t="s">
        <v>81</v>
      </c>
      <c r="B29" s="40">
        <f>K8</f>
        <v>0</v>
      </c>
      <c r="F29" s="40"/>
      <c r="H29" s="40"/>
      <c r="J29" s="40"/>
    </row>
    <row r="30" spans="1:12" ht="18.75" x14ac:dyDescent="0.3">
      <c r="A30" s="52" t="s">
        <v>48</v>
      </c>
      <c r="B30" s="53">
        <f>B29/B28</f>
        <v>0</v>
      </c>
      <c r="E30" s="52"/>
      <c r="F30" s="53"/>
      <c r="I30" s="52"/>
      <c r="J30" s="53"/>
    </row>
    <row r="31" spans="1:12" ht="18.75" x14ac:dyDescent="0.3">
      <c r="A31" s="52"/>
      <c r="B31" s="53"/>
      <c r="E31" s="52"/>
      <c r="F31" s="53"/>
      <c r="I31" s="52"/>
      <c r="J31" s="53"/>
    </row>
    <row r="32" spans="1:12" x14ac:dyDescent="0.25">
      <c r="A32" s="23"/>
      <c r="B32" s="47" t="s">
        <v>47</v>
      </c>
      <c r="C32" s="47" t="s">
        <v>19</v>
      </c>
      <c r="D32" s="47" t="s">
        <v>46</v>
      </c>
    </row>
    <row r="33" spans="1:4" x14ac:dyDescent="0.25">
      <c r="A33" s="23" t="s">
        <v>56</v>
      </c>
      <c r="B33" s="51">
        <f>B24+B28</f>
        <v>5.66</v>
      </c>
      <c r="C33" s="51">
        <f>B28</f>
        <v>2.2000000000000002</v>
      </c>
      <c r="D33" s="51">
        <f>B24</f>
        <v>3.46</v>
      </c>
    </row>
    <row r="34" spans="1:4" x14ac:dyDescent="0.25">
      <c r="A34" s="23" t="s">
        <v>51</v>
      </c>
      <c r="B34" s="51">
        <f>C34+D34</f>
        <v>18125</v>
      </c>
      <c r="C34" s="51">
        <f>B4</f>
        <v>12600</v>
      </c>
      <c r="D34" s="51">
        <f>B11+B18</f>
        <v>5525</v>
      </c>
    </row>
    <row r="35" spans="1:4" x14ac:dyDescent="0.25">
      <c r="A35" s="23" t="s">
        <v>57</v>
      </c>
      <c r="B35" s="48">
        <f>B33/B34*1000</f>
        <v>0.31227586206896552</v>
      </c>
      <c r="C35" s="48">
        <f t="shared" ref="C35:D35" si="15">C33/C34*1000</f>
        <v>0.17460317460317462</v>
      </c>
      <c r="D35" s="44">
        <f t="shared" si="15"/>
        <v>0.62624434389140271</v>
      </c>
    </row>
    <row r="36" spans="1:4" x14ac:dyDescent="0.25">
      <c r="A36" s="23" t="s">
        <v>60</v>
      </c>
      <c r="B36" s="44">
        <f>C36*C34/$B$34+$D$36*D34/$B$34</f>
        <v>5.6456053739364096</v>
      </c>
      <c r="C36" s="44">
        <f>L8*1000</f>
        <v>0</v>
      </c>
      <c r="D36" s="44">
        <f>($L$15*B11*E11/($B$11*$E$11+$B$18*$E$18)+$L$22*B18*E18/($B$11*$E$11+$B$18*$E$18))*1000</f>
        <v>18.520651113592294</v>
      </c>
    </row>
    <row r="37" spans="1:4" ht="54.75" x14ac:dyDescent="0.25">
      <c r="A37" s="49" t="s">
        <v>58</v>
      </c>
      <c r="B37" s="50">
        <f>B36/B35</f>
        <v>18.078904134734529</v>
      </c>
      <c r="C37" s="50">
        <f>C36/C35</f>
        <v>0</v>
      </c>
      <c r="D37" s="50">
        <f>D36/D35</f>
        <v>29.574161099016596</v>
      </c>
    </row>
  </sheetData>
  <mergeCells count="6">
    <mergeCell ref="B4:B7"/>
    <mergeCell ref="E4:E7"/>
    <mergeCell ref="B11:B14"/>
    <mergeCell ref="E11:E14"/>
    <mergeCell ref="B18:B21"/>
    <mergeCell ref="E18:E2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TaxCatchAll xmlns="97e57212-3e02-407f-8b2d-05f7d7f19b15"/>
    <_Flow_SignoffStatus xmlns="a052ecc6-f5a4-49f4-aa10-e791a5474042" xsi:nil="true"/>
    <PL_x0020_Notes xmlns="a052ecc6-f5a4-49f4-aa10-e791a547404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0BA96DB7B705A43B8AD23F39205407B" ma:contentTypeVersion="8" ma:contentTypeDescription="Create a new document." ma:contentTypeScope="" ma:versionID="e27d16a8a72072cf8689d8050d6a9147">
  <xsd:schema xmlns:xsd="http://www.w3.org/2001/XMLSchema" xmlns:xs="http://www.w3.org/2001/XMLSchema" xmlns:p="http://schemas.microsoft.com/office/2006/metadata/properties" xmlns:ns2="97e57212-3e02-407f-8b2d-05f7d7f19b15" xmlns:ns3="a052ecc6-f5a4-49f4-aa10-e791a5474042" xmlns:ns4="f19a5c4a-5a58-4074-aba8-4b17174d92ff" targetNamespace="http://schemas.microsoft.com/office/2006/metadata/properties" ma:root="true" ma:fieldsID="96e9176adbde8a88e4d18d52a7df777f" ns2:_="" ns3:_="" ns4:_="">
    <xsd:import namespace="97e57212-3e02-407f-8b2d-05f7d7f19b15"/>
    <xsd:import namespace="a052ecc6-f5a4-49f4-aa10-e791a5474042"/>
    <xsd:import namespace="f19a5c4a-5a58-4074-aba8-4b17174d92ff"/>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_Flow_SignoffStatus" minOccurs="0"/>
                <xsd:element ref="ns4:SharedWithUsers" minOccurs="0"/>
                <xsd:element ref="ns4:SharedWithDetails" minOccurs="0"/>
                <xsd:element ref="ns3:MediaServiceMetadata" minOccurs="0"/>
                <xsd:element ref="ns3:MediaServiceFastMetadata" minOccurs="0"/>
                <xsd:element ref="ns3:MediaServiceAutoKeyPoints" minOccurs="0"/>
                <xsd:element ref="ns3:MediaServiceKeyPoints" minOccurs="0"/>
                <xsd:element ref="ns3:PL_x0020_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24d0182-08b3-4895-a1a7-ad36b16082cb}" ma:internalName="TaxCatchAll" ma:showField="CatchAllData"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24d0182-08b3-4895-a1a7-ad36b16082cb}" ma:internalName="TaxCatchAllLabel" ma:readOnly="true" ma:showField="CatchAllDataLabel"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2ecc6-f5a4-49f4-aa10-e791a5474042" elementFormDefault="qualified">
    <xsd:import namespace="http://schemas.microsoft.com/office/2006/documentManagement/types"/>
    <xsd:import namespace="http://schemas.microsoft.com/office/infopath/2007/PartnerControls"/>
    <xsd:element name="_Flow_SignoffStatus" ma:index="14" nillable="true" ma:displayName="Sign-off status" ma:internalName="Sign_x002d_off_x0020_status">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L_x0020_Notes" ma:index="21" nillable="true" ma:displayName="PL Notes" ma:description="Paralegal notes only" ma:format="Dropdown" ma:internalName="PL_x0020_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19a5c4a-5a58-4074-aba8-4b17174d92f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b06c99b3-cd83-43e5-b4c1-d62f316c1e37" ContentTypeId="0x0101" PreviousValue="false"/>
</file>

<file path=customXml/itemProps1.xml><?xml version="1.0" encoding="utf-8"?>
<ds:datastoreItem xmlns:ds="http://schemas.openxmlformats.org/officeDocument/2006/customXml" ds:itemID="{744700A6-0F45-4117-8C38-8CFA988749B9}">
  <ds:schemaRefs>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6A66D788-BE6C-4C8C-B9DB-FECE751DB228}"/>
</file>

<file path=customXml/itemProps3.xml><?xml version="1.0" encoding="utf-8"?>
<ds:datastoreItem xmlns:ds="http://schemas.openxmlformats.org/officeDocument/2006/customXml" ds:itemID="{C6055CAB-9E4B-4830-BF2C-9F9B9E64EC30}">
  <ds:schemaRefs>
    <ds:schemaRef ds:uri="http://schemas.microsoft.com/sharepoint/v3/contenttype/forms"/>
  </ds:schemaRefs>
</ds:datastoreItem>
</file>

<file path=customXml/itemProps4.xml><?xml version="1.0" encoding="utf-8"?>
<ds:datastoreItem xmlns:ds="http://schemas.openxmlformats.org/officeDocument/2006/customXml" ds:itemID="{2FA299DF-63A0-4E40-822B-8D08DF913A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Enhanced Inspections Workpaper</vt:lpstr>
      <vt:lpstr>Financials</vt:lpstr>
      <vt:lpstr>2018 Routine Insp. - Dist</vt:lpstr>
      <vt:lpstr>2019 Enhanced Insp. - Dist</vt:lpstr>
      <vt:lpstr>2018 Routine Insp. - Trans</vt:lpstr>
      <vt:lpstr>2019 Enhanced Insp. - Trans</vt:lpstr>
      <vt:lpstr>'Enhanced Inspections Workpaper'!Print_Titles</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Rohan</dc:creator>
  <cp:lastModifiedBy>Wong, Benson</cp:lastModifiedBy>
  <dcterms:created xsi:type="dcterms:W3CDTF">2020-03-25T05:41:08Z</dcterms:created>
  <dcterms:modified xsi:type="dcterms:W3CDTF">2020-07-10T20:00:40Z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{CC1CB5F2-A23F-4496-8282-B751897D0405}</vt:lpwstr>
  </property>
  <property fmtid="{D5CDD505-2E9C-101B-9397-08002B2CF9AE}" pid="3" name="ContentTypeId">
    <vt:lpwstr>0x010100E0BA96DB7B705A43B8AD23F39205407B</vt:lpwstr>
  </property>
</Properties>
</file>